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175" activeTab="0"/>
  </bookViews>
  <sheets>
    <sheet name="Statewide" sheetId="1" r:id="rId1"/>
    <sheet name="District 1" sheetId="2" r:id="rId2"/>
    <sheet name="District 2" sheetId="3" r:id="rId3"/>
    <sheet name="District 3" sheetId="4" r:id="rId4"/>
    <sheet name="District 4" sheetId="5" r:id="rId5"/>
    <sheet name="District 5" sheetId="6" r:id="rId6"/>
    <sheet name="District 6" sheetId="7" r:id="rId7"/>
    <sheet name="District 7" sheetId="8" r:id="rId8"/>
    <sheet name="District 8" sheetId="9" r:id="rId9"/>
    <sheet name="District 9" sheetId="10" r:id="rId10"/>
    <sheet name="District 10" sheetId="11" r:id="rId11"/>
    <sheet name="District 11" sheetId="12" r:id="rId12"/>
    <sheet name="District 12" sheetId="13" r:id="rId13"/>
    <sheet name="District 13" sheetId="14" r:id="rId14"/>
    <sheet name="District 14" sheetId="15" r:id="rId15"/>
    <sheet name="District 15" sheetId="16" r:id="rId16"/>
    <sheet name="District 16" sheetId="17" r:id="rId17"/>
    <sheet name="District 17" sheetId="18" r:id="rId18"/>
    <sheet name="District 18" sheetId="19" r:id="rId19"/>
    <sheet name="District 19" sheetId="20" r:id="rId20"/>
    <sheet name="District 20" sheetId="21" r:id="rId21"/>
    <sheet name="District 21" sheetId="22" r:id="rId22"/>
    <sheet name="District 22" sheetId="23" r:id="rId23"/>
    <sheet name="District 23" sheetId="24" r:id="rId24"/>
    <sheet name="District 24" sheetId="25" r:id="rId25"/>
    <sheet name="District 25" sheetId="26" r:id="rId26"/>
    <sheet name="District 26" sheetId="27" r:id="rId27"/>
    <sheet name="District 27" sheetId="28" r:id="rId28"/>
    <sheet name="District 28" sheetId="29" r:id="rId29"/>
    <sheet name="District 29" sheetId="30" r:id="rId30"/>
    <sheet name="District 30" sheetId="31" r:id="rId31"/>
    <sheet name="District 31" sheetId="32" r:id="rId32"/>
    <sheet name="District 32" sheetId="33" r:id="rId33"/>
  </sheets>
  <definedNames>
    <definedName name="_xlnm.Print_Area" localSheetId="1">'District 1'!$A$1:$N$28</definedName>
    <definedName name="_xlnm.Print_Area" localSheetId="10">'District 10'!$A$1:$P$22</definedName>
    <definedName name="_xlnm.Print_Area" localSheetId="11">'District 11'!$A$1:$N$48</definedName>
    <definedName name="_xlnm.Print_Area" localSheetId="12">'District 12'!$A$1:$O$17</definedName>
    <definedName name="_xlnm.Print_Area" localSheetId="13">'District 13'!$A$1:$O$58</definedName>
    <definedName name="_xlnm.Print_Area" localSheetId="14">'District 14'!$A$1:$N$24</definedName>
    <definedName name="_xlnm.Print_Area" localSheetId="15">'District 15'!$A$1:$N$26</definedName>
    <definedName name="_xlnm.Print_Area" localSheetId="16">'District 16'!$A$1:$P$15</definedName>
    <definedName name="_xlnm.Print_Area" localSheetId="17">'District 17'!$A$1:$N$26</definedName>
    <definedName name="_xlnm.Print_Area" localSheetId="18">'District 18'!$A$1:$P$16</definedName>
    <definedName name="_xlnm.Print_Area" localSheetId="19">'District 19'!$A$1:$N$40</definedName>
    <definedName name="_xlnm.Print_Area" localSheetId="2">'District 2'!$A$1:$P$16</definedName>
    <definedName name="_xlnm.Print_Area" localSheetId="20">'District 20'!$A$1:$N$16</definedName>
    <definedName name="_xlnm.Print_Area" localSheetId="21">'District 21'!$A$1:$N$22</definedName>
    <definedName name="_xlnm.Print_Area" localSheetId="22">'District 22'!$A$1:$P$18</definedName>
    <definedName name="_xlnm.Print_Area" localSheetId="23">'District 23'!$A$1:$P$34</definedName>
    <definedName name="_xlnm.Print_Area" localSheetId="24">'District 24'!$A$1:$P$17</definedName>
    <definedName name="_xlnm.Print_Area" localSheetId="25">'District 25'!$A$1:$N$22</definedName>
    <definedName name="_xlnm.Print_Area" localSheetId="26">'District 26'!$A$1:$P$18</definedName>
    <definedName name="_xlnm.Print_Area" localSheetId="27">'District 27'!$A$1:$N$20</definedName>
    <definedName name="_xlnm.Print_Area" localSheetId="28">'District 28'!$A$1:$N$26</definedName>
    <definedName name="_xlnm.Print_Area" localSheetId="29">'District 29'!$A$1:$P$16</definedName>
    <definedName name="_xlnm.Print_Area" localSheetId="3">'District 3'!$A$1:$P$16</definedName>
    <definedName name="_xlnm.Print_Area" localSheetId="30">'District 30'!$A$1:$P$15</definedName>
    <definedName name="_xlnm.Print_Area" localSheetId="31">'District 31'!$A$1:$M$22</definedName>
    <definedName name="_xlnm.Print_Area" localSheetId="32">'District 32'!$A$1:$P$15</definedName>
    <definedName name="_xlnm.Print_Area" localSheetId="4">'District 4'!$A$1:$M$30</definedName>
    <definedName name="_xlnm.Print_Area" localSheetId="5">'District 5'!$A$1:$O$21</definedName>
    <definedName name="_xlnm.Print_Area" localSheetId="6">'District 6'!$A$1:$O$23</definedName>
    <definedName name="_xlnm.Print_Area" localSheetId="7">'District 7'!$A$1:$P$16</definedName>
    <definedName name="_xlnm.Print_Area" localSheetId="8">'District 8'!$A$1:$M$25</definedName>
    <definedName name="_xlnm.Print_Area" localSheetId="9">'District 9'!$A$1:$P$16</definedName>
    <definedName name="_xlnm.Print_Area" localSheetId="0">'Statewide'!$A$1:$O$13</definedName>
  </definedNames>
  <calcPr fullCalcOnLoad="1"/>
</workbook>
</file>

<file path=xl/sharedStrings.xml><?xml version="1.0" encoding="utf-8"?>
<sst xmlns="http://schemas.openxmlformats.org/spreadsheetml/2006/main" count="1044" uniqueCount="348">
  <si>
    <t>TOTAL ALL AGENCIES</t>
  </si>
  <si>
    <t>VETERAN AFFAIRS</t>
  </si>
  <si>
    <t>TREAS.</t>
  </si>
  <si>
    <t>INTERIOR</t>
  </si>
  <si>
    <t>TRANSP.</t>
  </si>
  <si>
    <t>COMMERCE</t>
  </si>
  <si>
    <t>LABOR</t>
  </si>
  <si>
    <t>SOCIAL SECURITY</t>
  </si>
  <si>
    <t>OTHER</t>
  </si>
  <si>
    <t>TOTAL</t>
  </si>
  <si>
    <t>County</t>
  </si>
  <si>
    <t>AGRIC.</t>
  </si>
  <si>
    <t>ENERGY</t>
  </si>
  <si>
    <t>NASA</t>
  </si>
  <si>
    <t>EPA</t>
  </si>
  <si>
    <t xml:space="preserve"> (NOTE: Some counties overlap congressional districts; all attempts were made to include all pertinent counties in this table. We apologize </t>
  </si>
  <si>
    <t>if some are not in this district or if a county was omitted from this table.)</t>
  </si>
  <si>
    <t>Franklin</t>
  </si>
  <si>
    <t>Madison</t>
  </si>
  <si>
    <t>pertinent counties in this table. We apologize if some are not in this district or if a county was omitted from this table.)</t>
  </si>
  <si>
    <t xml:space="preserve">  agency and county. (NOTE: Some counties overlap congressional districts; all attempts were made to include all </t>
  </si>
  <si>
    <t>county.  (NOTE: Some counties overlap congressional districts; all attempts were made to include all pertinent counties in this</t>
  </si>
  <si>
    <t xml:space="preserve">  table. We apologize if some are not in this district or if a county was omitted from this table.)</t>
  </si>
  <si>
    <t>Washington</t>
  </si>
  <si>
    <t>Jefferson</t>
  </si>
  <si>
    <t>Hamilton</t>
  </si>
  <si>
    <t>Montgomery</t>
  </si>
  <si>
    <t>Orange</t>
  </si>
  <si>
    <t>Angelina</t>
  </si>
  <si>
    <t>Cass</t>
  </si>
  <si>
    <t>Gregg</t>
  </si>
  <si>
    <t>Harrison</t>
  </si>
  <si>
    <t>Marion</t>
  </si>
  <si>
    <t>Nacogdoches</t>
  </si>
  <si>
    <t>Panola</t>
  </si>
  <si>
    <t>Rusk</t>
  </si>
  <si>
    <t>Sabine</t>
  </si>
  <si>
    <t>San Augustine</t>
  </si>
  <si>
    <t>Shelby</t>
  </si>
  <si>
    <t>Smith</t>
  </si>
  <si>
    <t>Upshur</t>
  </si>
  <si>
    <t>Texas First Congressional District</t>
  </si>
  <si>
    <t>Harris</t>
  </si>
  <si>
    <t>Texas Second Congressional District</t>
  </si>
  <si>
    <t>Collin</t>
  </si>
  <si>
    <t>Dallas</t>
  </si>
  <si>
    <t>Texas Third Congressional District</t>
  </si>
  <si>
    <t>Bowie</t>
  </si>
  <si>
    <t>Camp</t>
  </si>
  <si>
    <t>Delta</t>
  </si>
  <si>
    <t>Fannin</t>
  </si>
  <si>
    <t>Grayson</t>
  </si>
  <si>
    <t>Hopkins</t>
  </si>
  <si>
    <t>Hunt</t>
  </si>
  <si>
    <t>Lamar</t>
  </si>
  <si>
    <t>Morris</t>
  </si>
  <si>
    <t>Rains</t>
  </si>
  <si>
    <t>Red River</t>
  </si>
  <si>
    <t>Rockwall</t>
  </si>
  <si>
    <t>Titus</t>
  </si>
  <si>
    <t>Texas Fourth Congressional District</t>
  </si>
  <si>
    <t>Anderson</t>
  </si>
  <si>
    <t>Cherokee</t>
  </si>
  <si>
    <t>Henderson</t>
  </si>
  <si>
    <t>Kaufman</t>
  </si>
  <si>
    <t>Van Zandt</t>
  </si>
  <si>
    <t>Wood</t>
  </si>
  <si>
    <t>Texas Fifth Congressional District</t>
  </si>
  <si>
    <t>Ellis</t>
  </si>
  <si>
    <t>Freestone</t>
  </si>
  <si>
    <t>Houston</t>
  </si>
  <si>
    <t>Leon</t>
  </si>
  <si>
    <t>Limestone</t>
  </si>
  <si>
    <t>Navarro</t>
  </si>
  <si>
    <t>Tarrant</t>
  </si>
  <si>
    <t>Trinity</t>
  </si>
  <si>
    <t>Texas Sixth Congressional District</t>
  </si>
  <si>
    <t>Texas Seventh Congressional District</t>
  </si>
  <si>
    <t>Hardin</t>
  </si>
  <si>
    <t>Jasper</t>
  </si>
  <si>
    <t>Liberty</t>
  </si>
  <si>
    <t>Newton</t>
  </si>
  <si>
    <t>Polk</t>
  </si>
  <si>
    <t>San Jacinto</t>
  </si>
  <si>
    <t>Tyler</t>
  </si>
  <si>
    <t>Walker</t>
  </si>
  <si>
    <t>Texas Eighth Congressional District</t>
  </si>
  <si>
    <t>Fort Bend</t>
  </si>
  <si>
    <t>Texas Ninth Congressional District</t>
  </si>
  <si>
    <t>Austin</t>
  </si>
  <si>
    <t>Bastrop</t>
  </si>
  <si>
    <t>Burleson</t>
  </si>
  <si>
    <t>Lee</t>
  </si>
  <si>
    <t>Travis</t>
  </si>
  <si>
    <t>Waller</t>
  </si>
  <si>
    <t>Texas Tenth Congressional District</t>
  </si>
  <si>
    <t>Andrews</t>
  </si>
  <si>
    <t>Brown</t>
  </si>
  <si>
    <t>Burnet</t>
  </si>
  <si>
    <t>Coke</t>
  </si>
  <si>
    <t>Coleman</t>
  </si>
  <si>
    <t>Comanche</t>
  </si>
  <si>
    <t>Concho</t>
  </si>
  <si>
    <t>Crane</t>
  </si>
  <si>
    <t>Dawson</t>
  </si>
  <si>
    <t>Ector</t>
  </si>
  <si>
    <t>Gillespie</t>
  </si>
  <si>
    <t>Irion</t>
  </si>
  <si>
    <t>Kimble</t>
  </si>
  <si>
    <t>Lampasas</t>
  </si>
  <si>
    <t>Llano</t>
  </si>
  <si>
    <t>Martin</t>
  </si>
  <si>
    <t>Mason</t>
  </si>
  <si>
    <t>McCulloch</t>
  </si>
  <si>
    <t>Menard</t>
  </si>
  <si>
    <t>Midland</t>
  </si>
  <si>
    <t>Mills</t>
  </si>
  <si>
    <t>Mitchell</t>
  </si>
  <si>
    <t>Nolan</t>
  </si>
  <si>
    <t>Reagan</t>
  </si>
  <si>
    <t>Runnels</t>
  </si>
  <si>
    <t>San Saba</t>
  </si>
  <si>
    <t>Schleicher</t>
  </si>
  <si>
    <t>Scurry</t>
  </si>
  <si>
    <t>Sterling</t>
  </si>
  <si>
    <t>Sutton</t>
  </si>
  <si>
    <t>Tom Green</t>
  </si>
  <si>
    <t>Upton</t>
  </si>
  <si>
    <t>Ward</t>
  </si>
  <si>
    <t>Winkler</t>
  </si>
  <si>
    <t>Texas Eleventh Congressional District</t>
  </si>
  <si>
    <t>Parker</t>
  </si>
  <si>
    <t>Wise</t>
  </si>
  <si>
    <t>Archer</t>
  </si>
  <si>
    <t>Armstrong</t>
  </si>
  <si>
    <t>Baylor</t>
  </si>
  <si>
    <t>Briscoe</t>
  </si>
  <si>
    <t>Carson</t>
  </si>
  <si>
    <t>Childress</t>
  </si>
  <si>
    <t>Clay</t>
  </si>
  <si>
    <t>Collingsworth</t>
  </si>
  <si>
    <t>Cooke</t>
  </si>
  <si>
    <t>Cottle</t>
  </si>
  <si>
    <t>Crosby</t>
  </si>
  <si>
    <t>Dallam</t>
  </si>
  <si>
    <t>Dickens</t>
  </si>
  <si>
    <t>Donley</t>
  </si>
  <si>
    <t>Foard</t>
  </si>
  <si>
    <t>Gray</t>
  </si>
  <si>
    <t>Hall</t>
  </si>
  <si>
    <t>Hansford</t>
  </si>
  <si>
    <t>Hardeman</t>
  </si>
  <si>
    <t>Hartley</t>
  </si>
  <si>
    <t>Haskell</t>
  </si>
  <si>
    <t>Hemphill</t>
  </si>
  <si>
    <t>Hutchinson</t>
  </si>
  <si>
    <t>Jack</t>
  </si>
  <si>
    <t>Jones</t>
  </si>
  <si>
    <t>King</t>
  </si>
  <si>
    <t>Knox</t>
  </si>
  <si>
    <t>Lipscomb</t>
  </si>
  <si>
    <t>Montague</t>
  </si>
  <si>
    <t>Moore</t>
  </si>
  <si>
    <t>Motley</t>
  </si>
  <si>
    <t>Ochiltree</t>
  </si>
  <si>
    <t>Oldham</t>
  </si>
  <si>
    <t>Palo Pinto</t>
  </si>
  <si>
    <t>Potter</t>
  </si>
  <si>
    <t>Randall</t>
  </si>
  <si>
    <t>Roberts</t>
  </si>
  <si>
    <t>Sherman</t>
  </si>
  <si>
    <t>Stonewall</t>
  </si>
  <si>
    <t>Swisher</t>
  </si>
  <si>
    <t>Throckmorton</t>
  </si>
  <si>
    <t>Wheeler</t>
  </si>
  <si>
    <t>Wichita</t>
  </si>
  <si>
    <t>Wilbarger</t>
  </si>
  <si>
    <t>Texas Thirteenth Congressional District</t>
  </si>
  <si>
    <t>Texas Twelfth Congressional District</t>
  </si>
  <si>
    <t>Aransas</t>
  </si>
  <si>
    <t>Brazoria</t>
  </si>
  <si>
    <t>Calhoun</t>
  </si>
  <si>
    <t>Chambers</t>
  </si>
  <si>
    <t>Galveston</t>
  </si>
  <si>
    <t>Jackson</t>
  </si>
  <si>
    <t>Matagorda</t>
  </si>
  <si>
    <t>Victoria</t>
  </si>
  <si>
    <t>Wharton</t>
  </si>
  <si>
    <t>Texas Fourteenth Congressional District</t>
  </si>
  <si>
    <t>Bee</t>
  </si>
  <si>
    <t>Brooks</t>
  </si>
  <si>
    <t>Cameron</t>
  </si>
  <si>
    <t>Colorado</t>
  </si>
  <si>
    <t>DeWitt</t>
  </si>
  <si>
    <t>Fayette</t>
  </si>
  <si>
    <t>Goliad</t>
  </si>
  <si>
    <t>Hidalgo</t>
  </si>
  <si>
    <t>Jim Wells</t>
  </si>
  <si>
    <t>Lavaca</t>
  </si>
  <si>
    <t>Refugio</t>
  </si>
  <si>
    <t>San Patricio</t>
  </si>
  <si>
    <t>Texas Fifteenth Congressional District</t>
  </si>
  <si>
    <t>El Paso</t>
  </si>
  <si>
    <t>Texas Sixteenth Congressional District</t>
  </si>
  <si>
    <t>Bosque</t>
  </si>
  <si>
    <t>Brazos</t>
  </si>
  <si>
    <t>Grimes</t>
  </si>
  <si>
    <t>Hill</t>
  </si>
  <si>
    <t>Hood</t>
  </si>
  <si>
    <t>Johnson</t>
  </si>
  <si>
    <t>McLennan</t>
  </si>
  <si>
    <t>Robertson</t>
  </si>
  <si>
    <t>Somervell</t>
  </si>
  <si>
    <t>Texas Seventeenth Congressional District</t>
  </si>
  <si>
    <t>Texas Eighteenth Congressional District</t>
  </si>
  <si>
    <t>Bailey</t>
  </si>
  <si>
    <t>Callahan</t>
  </si>
  <si>
    <t>Castro</t>
  </si>
  <si>
    <t>Cochran</t>
  </si>
  <si>
    <t>Deaf Smith</t>
  </si>
  <si>
    <t>Eastland</t>
  </si>
  <si>
    <t>Fisher</t>
  </si>
  <si>
    <t>Floyd</t>
  </si>
  <si>
    <t>Gaines</t>
  </si>
  <si>
    <t>Garza</t>
  </si>
  <si>
    <t>Hale</t>
  </si>
  <si>
    <t>Hockley</t>
  </si>
  <si>
    <t>Howard</t>
  </si>
  <si>
    <t>Kent</t>
  </si>
  <si>
    <t>Lamb</t>
  </si>
  <si>
    <t>Lubbock</t>
  </si>
  <si>
    <t>Lynn</t>
  </si>
  <si>
    <t>Parmer</t>
  </si>
  <si>
    <t>Shackelford</t>
  </si>
  <si>
    <t>Stephens</t>
  </si>
  <si>
    <t>Taylor</t>
  </si>
  <si>
    <t>Terry</t>
  </si>
  <si>
    <t>Yoakum</t>
  </si>
  <si>
    <t>Young</t>
  </si>
  <si>
    <t>Texas Nineteenth Congressional District</t>
  </si>
  <si>
    <t>Bexar</t>
  </si>
  <si>
    <t>Texas Twentieth Congressional District</t>
  </si>
  <si>
    <t>Blanco</t>
  </si>
  <si>
    <t>Comal</t>
  </si>
  <si>
    <t>Hays</t>
  </si>
  <si>
    <t>Texas Twenty-first Congressional District</t>
  </si>
  <si>
    <t>Texas Twenty-second Congressional District</t>
  </si>
  <si>
    <t>Bandera</t>
  </si>
  <si>
    <t>Brewster</t>
  </si>
  <si>
    <t>Crockett</t>
  </si>
  <si>
    <t>Culberson</t>
  </si>
  <si>
    <t>Dimmit</t>
  </si>
  <si>
    <t>Edwards</t>
  </si>
  <si>
    <t>Hudspeth</t>
  </si>
  <si>
    <t>Jeff Davis</t>
  </si>
  <si>
    <t>Kendall</t>
  </si>
  <si>
    <t>Kerr</t>
  </si>
  <si>
    <t>Kinney</t>
  </si>
  <si>
    <t>Maverick</t>
  </si>
  <si>
    <t>Medina</t>
  </si>
  <si>
    <t>Pecos</t>
  </si>
  <si>
    <t>Presidio</t>
  </si>
  <si>
    <t>Real</t>
  </si>
  <si>
    <t>Reeves</t>
  </si>
  <si>
    <t>Terrell</t>
  </si>
  <si>
    <t>Uvalde</t>
  </si>
  <si>
    <t>Val Verde</t>
  </si>
  <si>
    <t>Webb</t>
  </si>
  <si>
    <t>Zavala</t>
  </si>
  <si>
    <t>Texas Twenty-third Congressional District</t>
  </si>
  <si>
    <t>Denton</t>
  </si>
  <si>
    <t>Texas Twenty-fourth Congressional District</t>
  </si>
  <si>
    <t>Caldwell</t>
  </si>
  <si>
    <t>Duval</t>
  </si>
  <si>
    <t>Gonzales</t>
  </si>
  <si>
    <t>Jim Hogg</t>
  </si>
  <si>
    <t>Karnes</t>
  </si>
  <si>
    <t>Live Oak</t>
  </si>
  <si>
    <t>Starr</t>
  </si>
  <si>
    <t>Texas Twenty-fifth Congressional District</t>
  </si>
  <si>
    <t>Texas Twenty-sixth Congressional District</t>
  </si>
  <si>
    <t>Kenedy</t>
  </si>
  <si>
    <t>Kleberg</t>
  </si>
  <si>
    <t>Nueces</t>
  </si>
  <si>
    <t>Willacy</t>
  </si>
  <si>
    <t>Texas Twenty-seventh Congressional District</t>
  </si>
  <si>
    <t>Atascosa</t>
  </si>
  <si>
    <t>Frio</t>
  </si>
  <si>
    <t>Guadalupe</t>
  </si>
  <si>
    <t>La Salle</t>
  </si>
  <si>
    <t>McMullen</t>
  </si>
  <si>
    <t>Wilson</t>
  </si>
  <si>
    <t>Zapata</t>
  </si>
  <si>
    <t>Texas Twenty-eighth Congressional District</t>
  </si>
  <si>
    <t>Texas Twenty-ninth Congressional District</t>
  </si>
  <si>
    <t>Texas Thirtieth Congressional District</t>
  </si>
  <si>
    <t>Bell</t>
  </si>
  <si>
    <t>Coryell</t>
  </si>
  <si>
    <t>Erath</t>
  </si>
  <si>
    <t>Falls</t>
  </si>
  <si>
    <t>Milam</t>
  </si>
  <si>
    <t>Williamson</t>
  </si>
  <si>
    <t>Texas Thirty-first Congressional District</t>
  </si>
  <si>
    <t>Texas Thirty-second Congressional District</t>
  </si>
  <si>
    <t>DEFENSE/DHS</t>
  </si>
  <si>
    <t>FEDERAL RETIREES</t>
  </si>
  <si>
    <t>Statewide</t>
  </si>
  <si>
    <t>Texas</t>
  </si>
  <si>
    <t>VETERANS AFFAIRS</t>
  </si>
  <si>
    <t>DEFENSE/ DHS</t>
  </si>
  <si>
    <t>POSTAL*</t>
  </si>
  <si>
    <t>Number of Federal Employees and Retirees, November 2010</t>
  </si>
  <si>
    <t>Source: Office of Personnel Management, Federal Employment Statistics, November 2010.</t>
  </si>
  <si>
    <t>*Source: U.S. Department of Labor, Bureau of Labor Statistics, Quarterly Census of Employment, 2009.</t>
  </si>
  <si>
    <t>ENERGY/ EPA</t>
  </si>
  <si>
    <t xml:space="preserve">In the state of Texas there are 354,133 federal employees and retirees. </t>
  </si>
  <si>
    <t xml:space="preserve">In the First Congressional District of Texas, there are 6,057 federal employees and retirees. Below is the breakout by federal agency and county. </t>
  </si>
  <si>
    <t xml:space="preserve">In the Second Congressional District of Texas, there are 40,355 federal employees and retirees. Below is the breakout by federal agency and county. </t>
  </si>
  <si>
    <t xml:space="preserve">In the Third Congressional District of Texas, there are 38,710 federal employees and retirees. Below is the breakout by federal agency and county. </t>
  </si>
  <si>
    <t xml:space="preserve">In the Fourth Congressional District of Texas, there are 9,235 federal employees and retirees. Below is the breakout by federal agency and </t>
  </si>
  <si>
    <t xml:space="preserve">In the Fifth Congressional District of Texas, there are 37,377 federal employees and retirees. Below is the breakout by federal agency and county. </t>
  </si>
  <si>
    <t xml:space="preserve">In the Sixth Congressional District of Texas, there are 27,471 federal employees and retirees. Below is the breakout by federal agency and county. </t>
  </si>
  <si>
    <t xml:space="preserve">In the Seventh Congressional District of Texas there are 37,269 federal employees and retirees. Below is the breakout by federal  </t>
  </si>
  <si>
    <t>In the Eighth Congressional District of Texas, there are 5,830 federal employees and retirees. Below is the breakout by federal</t>
  </si>
  <si>
    <t xml:space="preserve">In the Ninth Congressional District of Texas, there are 39,936 federal employees and retirees. Below is the breakout by federal  </t>
  </si>
  <si>
    <t xml:space="preserve">In the Tenth Congressional District of Texas, there are 54,445 federal employees and retirees. Below is the breakout by federal  </t>
  </si>
  <si>
    <t xml:space="preserve">In the Eleventh Congressional District of Texas, there are 7,325 federal employees and retriees. Below is the breakout by federal  </t>
  </si>
  <si>
    <t xml:space="preserve">In the Twelfth Congressional District of Texas, there are 26,853 federal employees and retirees. Below is the breakout by federal  </t>
  </si>
  <si>
    <t xml:space="preserve">In the Thirteenth Congressional District of Texas, there are 10,114 federal employees and retirees. Below is the breakout by federal  </t>
  </si>
  <si>
    <t xml:space="preserve">In the Fourteenth Congressional District of Texas, there are 8,469 federal employees and retirees. Below is the breakout by federal  </t>
  </si>
  <si>
    <t xml:space="preserve">In the Fifteenth Congressional District of Texas, there are 11,842 federal employees and retirees. Below is the breakout by federal  </t>
  </si>
  <si>
    <t xml:space="preserve">In the Sixteenth Congressional District of Texas, there are 17,369 federal employees and retirees. Below is the breakout by federal  </t>
  </si>
  <si>
    <t xml:space="preserve">In the Seventeenth Congressional District of Texas, there are 10,343  federal employees and retirees. Below is the breakout by federal  </t>
  </si>
  <si>
    <t xml:space="preserve">In the Eighteenth Congressional District of Texas there are 37,269 federal employees and retirees. Below is the breakout by federal  </t>
  </si>
  <si>
    <t xml:space="preserve">In the Nineteenth Congressional District of Texas, there are 8,231 federal employees and retirees. Below is the breakout by federal  </t>
  </si>
  <si>
    <t xml:space="preserve">In the Twentieth Congressional District of Texas, there are 59,768 federal employees and retirees. Below is the breakout by federal  </t>
  </si>
  <si>
    <t xml:space="preserve">In the Twenty-first Congressional District of Texas, there are 79,859 federal employees and retirees. Below is the breakout by federal  </t>
  </si>
  <si>
    <t xml:space="preserve">In the Twenty-second Congressional District of Texas, there are 44,107 federal employees and retirees. Below is the breakout by federal  </t>
  </si>
  <si>
    <t xml:space="preserve">In the Twenty-third Congressional District of Texas, there are 84,433 federal employees and retirees. Below is the breakout by federal  </t>
  </si>
  <si>
    <t xml:space="preserve">In the Twenty-fourth Congressional District of Texas, there are 64,112 federal employees and retirees. Below is the breakout by federal  </t>
  </si>
  <si>
    <t xml:space="preserve">In the Twenty-fifth Congressional District of Texas, there are 18,658 federal employees and retirees. Below is the breakout by federal  </t>
  </si>
  <si>
    <t xml:space="preserve">In the Twenty-sixth Congressional District of Texas, there are 64,377 federal employees and retirees. Below is the breakout by federal  </t>
  </si>
  <si>
    <t xml:space="preserve">In the Twenty-seventh Congressional District of Texas, there are 16,674 federal employees and retirees. Below is the breakout by federal  </t>
  </si>
  <si>
    <t xml:space="preserve">In the Twenty-eighth Congressional District of Texas, there are 73,909 federal employees and retirees. Below is the breakout by federal  </t>
  </si>
  <si>
    <t xml:space="preserve">In the Twenty-ninth Congressional District of Texas there are 37,269 federal employees and retirees. Below is the breakout by federal  </t>
  </si>
  <si>
    <t xml:space="preserve">In the Thirtieth Congressional District of Texas, there are 34,652 federal employees and retirees. Below is the breakout by federal  </t>
  </si>
  <si>
    <t xml:space="preserve">In the Thirty-second Congressional District of Texas, there are 34,652 federal employees and retirees. Below is the breakout by federal  </t>
  </si>
  <si>
    <t xml:space="preserve">In the Thirty-first Congressional District of Texas, there are 20,040 federal employees and retirees. Below is the breakout by federal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</si>
</sst>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indent="4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A5" sqref="A5"/>
    </sheetView>
  </sheetViews>
  <sheetFormatPr defaultColWidth="8.88671875" defaultRowHeight="15"/>
  <cols>
    <col min="1" max="1" width="9.3359375" style="0" customWidth="1"/>
    <col min="2" max="2" width="7.77734375" style="0" customWidth="1"/>
    <col min="3" max="3" width="7.21484375" style="0" customWidth="1"/>
    <col min="4" max="4" width="6.4453125" style="0" customWidth="1"/>
    <col min="5" max="5" width="6.21484375" style="0" customWidth="1"/>
    <col min="6" max="6" width="4.99609375" style="0" customWidth="1"/>
    <col min="7" max="7" width="6.4453125" style="0" customWidth="1"/>
    <col min="8" max="8" width="6.3359375" style="0" customWidth="1"/>
    <col min="9" max="9" width="7.77734375" style="0" customWidth="1"/>
    <col min="10" max="10" width="5.10546875" style="0" customWidth="1"/>
    <col min="11" max="11" width="6.21484375" style="0" customWidth="1"/>
    <col min="12" max="12" width="6.4453125" style="0" customWidth="1"/>
    <col min="13" max="14" width="7.5546875" style="0" customWidth="1"/>
    <col min="15" max="15" width="5.99609375" style="0" customWidth="1"/>
    <col min="16" max="16" width="4.88671875" style="0" hidden="1" customWidth="1"/>
  </cols>
  <sheetData>
    <row r="1" spans="1:16" s="30" customFormat="1" ht="18.75" customHeight="1">
      <c r="A1" s="36" t="s">
        <v>307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"/>
    </row>
    <row r="2" spans="1:16" ht="18.75" customHeight="1">
      <c r="A2" s="36" t="s">
        <v>311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1"/>
    </row>
    <row r="3" ht="18.75">
      <c r="A3" s="1"/>
    </row>
    <row r="4" spans="1:15" ht="15">
      <c r="A4" s="34" t="s">
        <v>315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ht="15">
      <c r="A5" s="31"/>
    </row>
    <row r="6" ht="15">
      <c r="A6" s="31"/>
    </row>
    <row r="8" spans="1:15" ht="25.5" customHeight="1">
      <c r="A8" s="3"/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9" t="s">
        <v>314</v>
      </c>
      <c r="L8" s="3" t="s">
        <v>310</v>
      </c>
      <c r="M8" s="9" t="s">
        <v>7</v>
      </c>
      <c r="N8" s="9" t="s">
        <v>305</v>
      </c>
      <c r="O8" s="3" t="s">
        <v>8</v>
      </c>
    </row>
    <row r="9" spans="1:15" ht="15">
      <c r="A9" s="4" t="s">
        <v>306</v>
      </c>
      <c r="B9" s="5">
        <f>SUM(C9:O9)</f>
        <v>354133</v>
      </c>
      <c r="C9" s="4">
        <f>SUM(49773+25125)</f>
        <v>74898</v>
      </c>
      <c r="D9" s="5">
        <v>21472</v>
      </c>
      <c r="E9" s="4">
        <v>10792</v>
      </c>
      <c r="F9" s="4">
        <v>4783</v>
      </c>
      <c r="G9" s="4">
        <v>1332</v>
      </c>
      <c r="H9" s="4">
        <v>4429</v>
      </c>
      <c r="I9" s="4">
        <v>1392</v>
      </c>
      <c r="J9" s="4">
        <v>906</v>
      </c>
      <c r="K9" s="4">
        <f>SUM(254+896)</f>
        <v>1150</v>
      </c>
      <c r="L9" s="4">
        <v>45470</v>
      </c>
      <c r="M9" s="4">
        <v>3562</v>
      </c>
      <c r="N9" s="4">
        <v>163319</v>
      </c>
      <c r="O9" s="4">
        <f>SUM(143952-3562-1150-906-4429-1332-4783-10792-21472-74898)</f>
        <v>20628</v>
      </c>
    </row>
    <row r="11" ht="15">
      <c r="B11" s="2" t="s">
        <v>312</v>
      </c>
    </row>
    <row r="12" ht="15">
      <c r="B12" s="2"/>
    </row>
    <row r="13" ht="15">
      <c r="B13" s="2" t="s">
        <v>313</v>
      </c>
    </row>
  </sheetData>
  <sheetProtection/>
  <mergeCells count="3">
    <mergeCell ref="A4:O4"/>
    <mergeCell ref="A2:O2"/>
    <mergeCell ref="A1:O1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6"/>
  <sheetViews>
    <sheetView defaultGridColor="0" zoomScalePageLayoutView="0" colorId="8" workbookViewId="0" topLeftCell="A1">
      <selection activeCell="M9" sqref="M9:P9"/>
    </sheetView>
  </sheetViews>
  <sheetFormatPr defaultColWidth="8.88671875" defaultRowHeight="15"/>
  <cols>
    <col min="1" max="1" width="10.21484375" style="0" customWidth="1"/>
    <col min="2" max="2" width="7.99609375" style="0" customWidth="1"/>
    <col min="3" max="3" width="7.10546875" style="0" customWidth="1"/>
    <col min="4" max="4" width="6.88671875" style="0" customWidth="1"/>
    <col min="5" max="5" width="6.4453125" style="0" customWidth="1"/>
    <col min="6" max="6" width="4.99609375" style="0" customWidth="1"/>
    <col min="7" max="7" width="6.10546875" style="0" customWidth="1"/>
    <col min="8" max="8" width="6.4453125" style="0" customWidth="1"/>
    <col min="9" max="9" width="7.5546875" style="0" customWidth="1"/>
    <col min="10" max="10" width="5.3359375" style="0" customWidth="1"/>
    <col min="11" max="11" width="4.99609375" style="0" customWidth="1"/>
    <col min="12" max="12" width="3.5546875" style="0" customWidth="1"/>
    <col min="13" max="13" width="6.6640625" style="0" customWidth="1"/>
    <col min="14" max="15" width="6.88671875" style="0" customWidth="1"/>
    <col min="16" max="16" width="4.99609375" style="0" customWidth="1"/>
  </cols>
  <sheetData>
    <row r="1" spans="1:18" ht="18.75" customHeight="1">
      <c r="A1" s="36" t="s">
        <v>88</v>
      </c>
      <c r="B1" s="36"/>
      <c r="C1" s="36"/>
      <c r="D1" s="36"/>
      <c r="E1" s="36"/>
      <c r="F1" s="36"/>
      <c r="G1" s="36"/>
      <c r="H1" s="35"/>
      <c r="I1" s="35"/>
      <c r="J1" s="35"/>
      <c r="K1" s="35"/>
      <c r="L1" s="35"/>
      <c r="M1" s="35"/>
      <c r="N1" s="35"/>
      <c r="O1" s="35"/>
      <c r="P1" s="35"/>
      <c r="Q1" s="15"/>
      <c r="R1" s="15"/>
    </row>
    <row r="2" spans="1:18" ht="18.75" customHeight="1">
      <c r="A2" s="36" t="s">
        <v>311</v>
      </c>
      <c r="B2" s="36"/>
      <c r="C2" s="36"/>
      <c r="D2" s="36"/>
      <c r="E2" s="36"/>
      <c r="F2" s="36"/>
      <c r="G2" s="36"/>
      <c r="H2" s="35"/>
      <c r="I2" s="35"/>
      <c r="J2" s="35"/>
      <c r="K2" s="35"/>
      <c r="L2" s="35"/>
      <c r="M2" s="35"/>
      <c r="N2" s="35"/>
      <c r="O2" s="35"/>
      <c r="P2" s="35"/>
      <c r="Q2" s="15"/>
      <c r="R2" s="15"/>
    </row>
    <row r="3" spans="1:18" ht="18.75">
      <c r="A3" s="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5">
      <c r="A4" s="34" t="s">
        <v>324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15"/>
      <c r="R4" s="15"/>
    </row>
    <row r="5" spans="1:16" ht="15">
      <c r="A5" s="34" t="s">
        <v>20</v>
      </c>
      <c r="B5" s="35"/>
      <c r="C5" s="35"/>
      <c r="D5" s="35"/>
      <c r="E5" s="35"/>
      <c r="F5" s="35"/>
      <c r="G5" s="35"/>
      <c r="H5" s="35"/>
      <c r="I5" s="35"/>
      <c r="J5" s="35"/>
      <c r="K5" s="37"/>
      <c r="L5" s="37"/>
      <c r="M5" s="37"/>
      <c r="N5" s="37"/>
      <c r="O5" s="37"/>
      <c r="P5" s="37"/>
    </row>
    <row r="6" spans="1:16" ht="15">
      <c r="A6" s="34" t="s">
        <v>19</v>
      </c>
      <c r="B6" s="35"/>
      <c r="C6" s="35"/>
      <c r="D6" s="35"/>
      <c r="E6" s="35"/>
      <c r="F6" s="35"/>
      <c r="G6" s="35"/>
      <c r="H6" s="35"/>
      <c r="I6" s="35"/>
      <c r="J6" s="35"/>
      <c r="K6" s="37"/>
      <c r="L6" s="37"/>
      <c r="M6" s="37"/>
      <c r="N6" s="37"/>
      <c r="O6" s="37"/>
      <c r="P6" s="37"/>
    </row>
    <row r="7" ht="21" customHeight="1"/>
    <row r="8" spans="1:16" s="10" customFormat="1" ht="22.5">
      <c r="A8" s="3" t="s">
        <v>10</v>
      </c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13</v>
      </c>
      <c r="L8" s="3" t="s">
        <v>14</v>
      </c>
      <c r="M8" s="3" t="s">
        <v>310</v>
      </c>
      <c r="N8" s="9" t="s">
        <v>7</v>
      </c>
      <c r="O8" s="9" t="s">
        <v>305</v>
      </c>
      <c r="P8" s="3" t="s">
        <v>8</v>
      </c>
    </row>
    <row r="9" spans="1:16" ht="15">
      <c r="A9" s="4" t="s">
        <v>87</v>
      </c>
      <c r="B9" s="5">
        <f>SUM(C9:P9)</f>
        <v>2667</v>
      </c>
      <c r="C9" s="4">
        <v>189</v>
      </c>
      <c r="D9" s="5">
        <v>18</v>
      </c>
      <c r="E9" s="4">
        <v>1</v>
      </c>
      <c r="F9" s="5">
        <v>15</v>
      </c>
      <c r="G9" s="5"/>
      <c r="H9" s="4">
        <v>3</v>
      </c>
      <c r="I9" s="5">
        <v>19</v>
      </c>
      <c r="J9" s="4"/>
      <c r="K9" s="4"/>
      <c r="L9" s="4"/>
      <c r="M9" s="4">
        <v>490</v>
      </c>
      <c r="N9" s="4"/>
      <c r="O9" s="4">
        <v>1775</v>
      </c>
      <c r="P9" s="4">
        <f>SUM(402-19-3-15-1-18-189)</f>
        <v>157</v>
      </c>
    </row>
    <row r="10" spans="1:16" ht="15">
      <c r="A10" s="4" t="s">
        <v>42</v>
      </c>
      <c r="B10" s="5">
        <f>SUM(C10:P10)</f>
        <v>37269</v>
      </c>
      <c r="C10" s="4">
        <f>SUM(746+3079)</f>
        <v>3825</v>
      </c>
      <c r="D10" s="5">
        <v>4281</v>
      </c>
      <c r="E10" s="4">
        <v>1256</v>
      </c>
      <c r="F10" s="5">
        <v>104</v>
      </c>
      <c r="G10" s="5">
        <v>124</v>
      </c>
      <c r="H10" s="4">
        <v>993</v>
      </c>
      <c r="I10" s="5">
        <v>143</v>
      </c>
      <c r="J10" s="4">
        <v>135</v>
      </c>
      <c r="K10" s="4">
        <v>3318</v>
      </c>
      <c r="L10" s="4">
        <v>56</v>
      </c>
      <c r="M10" s="4">
        <v>8378</v>
      </c>
      <c r="N10" s="4">
        <v>631</v>
      </c>
      <c r="O10" s="4">
        <v>12053</v>
      </c>
      <c r="P10" s="4">
        <f>SUM(16838-631-56-3318-135-143-993-124-104-1256-4281-3825)</f>
        <v>1972</v>
      </c>
    </row>
    <row r="11" spans="1:16" ht="15">
      <c r="A11" s="4"/>
      <c r="B11" s="5"/>
      <c r="C11" s="4"/>
      <c r="D11" s="5"/>
      <c r="E11" s="4"/>
      <c r="F11" s="5"/>
      <c r="G11" s="5"/>
      <c r="H11" s="4"/>
      <c r="I11" s="5"/>
      <c r="J11" s="4"/>
      <c r="K11" s="4"/>
      <c r="L11" s="4"/>
      <c r="M11" s="4"/>
      <c r="N11" s="4"/>
      <c r="O11" s="4"/>
      <c r="P11" s="4"/>
    </row>
    <row r="12" spans="1:16" ht="15">
      <c r="A12" s="4" t="s">
        <v>9</v>
      </c>
      <c r="B12" s="5">
        <f>SUM(B9:B10)</f>
        <v>39936</v>
      </c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  <c r="O12" s="4"/>
      <c r="P12" s="4"/>
    </row>
    <row r="13" spans="1:11" ht="15">
      <c r="A13" s="12"/>
      <c r="B13" s="13"/>
      <c r="C13" s="13"/>
      <c r="D13" s="12"/>
      <c r="E13" s="13"/>
      <c r="F13" s="13"/>
      <c r="G13" s="12"/>
      <c r="H13" s="13"/>
      <c r="I13" s="12"/>
      <c r="J13" s="12"/>
      <c r="K13" s="12"/>
    </row>
    <row r="14" ht="15">
      <c r="B14" s="2" t="s">
        <v>312</v>
      </c>
    </row>
    <row r="16" ht="15">
      <c r="B16" s="2" t="s">
        <v>313</v>
      </c>
    </row>
    <row r="18" ht="13.5" customHeight="1"/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2"/>
  <sheetViews>
    <sheetView defaultGridColor="0" zoomScalePageLayoutView="0" colorId="8" workbookViewId="0" topLeftCell="A1">
      <selection activeCell="C12" sqref="C12:P12"/>
    </sheetView>
  </sheetViews>
  <sheetFormatPr defaultColWidth="8.88671875" defaultRowHeight="15"/>
  <cols>
    <col min="1" max="1" width="10.21484375" style="0" customWidth="1"/>
    <col min="2" max="2" width="7.77734375" style="0" customWidth="1"/>
    <col min="3" max="3" width="7.10546875" style="0" customWidth="1"/>
    <col min="4" max="4" width="6.3359375" style="0" customWidth="1"/>
    <col min="5" max="5" width="5.88671875" style="0" customWidth="1"/>
    <col min="6" max="6" width="5.6640625" style="0" customWidth="1"/>
    <col min="7" max="7" width="6.77734375" style="0" customWidth="1"/>
    <col min="8" max="8" width="6.3359375" style="0" customWidth="1"/>
    <col min="9" max="9" width="7.99609375" style="0" customWidth="1"/>
    <col min="10" max="10" width="5.77734375" style="0" customWidth="1"/>
    <col min="11" max="11" width="5.21484375" style="0" customWidth="1"/>
    <col min="12" max="12" width="3.21484375" style="0" customWidth="1"/>
    <col min="13" max="13" width="5.88671875" style="0" customWidth="1"/>
    <col min="14" max="15" width="6.77734375" style="0" customWidth="1"/>
    <col min="16" max="16" width="5.5546875" style="0" customWidth="1"/>
  </cols>
  <sheetData>
    <row r="1" spans="1:16" ht="18.75" customHeight="1">
      <c r="A1" s="36" t="s">
        <v>95</v>
      </c>
      <c r="B1" s="36"/>
      <c r="C1" s="36"/>
      <c r="D1" s="36"/>
      <c r="E1" s="36"/>
      <c r="F1" s="36"/>
      <c r="G1" s="36"/>
      <c r="H1" s="36"/>
      <c r="I1" s="37"/>
      <c r="J1" s="37"/>
      <c r="K1" s="37"/>
      <c r="L1" s="37"/>
      <c r="M1" s="37"/>
      <c r="N1" s="37"/>
      <c r="O1" s="37"/>
      <c r="P1" s="37"/>
    </row>
    <row r="2" spans="1:16" ht="18.75" customHeight="1">
      <c r="A2" s="36" t="s">
        <v>311</v>
      </c>
      <c r="B2" s="36"/>
      <c r="C2" s="36"/>
      <c r="D2" s="36"/>
      <c r="E2" s="36"/>
      <c r="F2" s="36"/>
      <c r="G2" s="36"/>
      <c r="H2" s="36"/>
      <c r="I2" s="37"/>
      <c r="J2" s="37"/>
      <c r="K2" s="37"/>
      <c r="L2" s="37"/>
      <c r="M2" s="37"/>
      <c r="N2" s="37"/>
      <c r="O2" s="37"/>
      <c r="P2" s="37"/>
    </row>
    <row r="3" ht="18.75">
      <c r="A3" s="1"/>
    </row>
    <row r="4" spans="1:16" ht="15">
      <c r="A4" s="34" t="s">
        <v>325</v>
      </c>
      <c r="B4" s="35"/>
      <c r="C4" s="35"/>
      <c r="D4" s="35"/>
      <c r="E4" s="35"/>
      <c r="F4" s="35"/>
      <c r="G4" s="35"/>
      <c r="H4" s="35"/>
      <c r="I4" s="35"/>
      <c r="J4" s="35"/>
      <c r="K4" s="37"/>
      <c r="L4" s="37"/>
      <c r="M4" s="37"/>
      <c r="N4" s="37"/>
      <c r="O4" s="37"/>
      <c r="P4" s="37"/>
    </row>
    <row r="5" spans="1:16" ht="15">
      <c r="A5" s="34" t="s">
        <v>20</v>
      </c>
      <c r="B5" s="35"/>
      <c r="C5" s="35"/>
      <c r="D5" s="35"/>
      <c r="E5" s="35"/>
      <c r="F5" s="35"/>
      <c r="G5" s="35"/>
      <c r="H5" s="35"/>
      <c r="I5" s="35"/>
      <c r="J5" s="35"/>
      <c r="K5" s="37"/>
      <c r="L5" s="37"/>
      <c r="M5" s="37"/>
      <c r="N5" s="37"/>
      <c r="O5" s="37"/>
      <c r="P5" s="37"/>
    </row>
    <row r="6" spans="1:16" ht="15">
      <c r="A6" s="34" t="s">
        <v>19</v>
      </c>
      <c r="B6" s="35"/>
      <c r="C6" s="35"/>
      <c r="D6" s="35"/>
      <c r="E6" s="35"/>
      <c r="F6" s="35"/>
      <c r="G6" s="35"/>
      <c r="H6" s="35"/>
      <c r="I6" s="35"/>
      <c r="J6" s="35"/>
      <c r="K6" s="37"/>
      <c r="L6" s="37"/>
      <c r="M6" s="37"/>
      <c r="N6" s="37"/>
      <c r="O6" s="37"/>
      <c r="P6" s="37"/>
    </row>
    <row r="7" spans="1:10" s="10" customFormat="1" ht="15">
      <c r="A7"/>
      <c r="B7" s="8"/>
      <c r="C7"/>
      <c r="D7"/>
      <c r="E7"/>
      <c r="F7"/>
      <c r="G7"/>
      <c r="H7"/>
      <c r="I7"/>
      <c r="J7"/>
    </row>
    <row r="8" spans="1:16" ht="22.5">
      <c r="A8" s="3" t="s">
        <v>10</v>
      </c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13</v>
      </c>
      <c r="L8" s="3" t="s">
        <v>14</v>
      </c>
      <c r="M8" s="3" t="s">
        <v>310</v>
      </c>
      <c r="N8" s="9" t="s">
        <v>7</v>
      </c>
      <c r="O8" s="9" t="s">
        <v>305</v>
      </c>
      <c r="P8" s="3" t="s">
        <v>8</v>
      </c>
    </row>
    <row r="9" spans="1:16" ht="15">
      <c r="A9" s="4" t="s">
        <v>89</v>
      </c>
      <c r="B9" s="5">
        <f aca="true" t="shared" si="0" ref="B9:B16">SUM(C9:P9)</f>
        <v>204</v>
      </c>
      <c r="C9" s="4">
        <v>24</v>
      </c>
      <c r="D9" s="5"/>
      <c r="E9" s="4"/>
      <c r="F9" s="5">
        <v>7</v>
      </c>
      <c r="G9" s="5"/>
      <c r="H9" s="4">
        <v>2</v>
      </c>
      <c r="I9" s="5"/>
      <c r="J9" s="4"/>
      <c r="K9" s="4"/>
      <c r="L9" s="4"/>
      <c r="M9" s="4">
        <v>61</v>
      </c>
      <c r="N9" s="4"/>
      <c r="O9" s="4">
        <v>105</v>
      </c>
      <c r="P9" s="4">
        <v>5</v>
      </c>
    </row>
    <row r="10" spans="1:16" ht="15">
      <c r="A10" s="4" t="s">
        <v>90</v>
      </c>
      <c r="B10" s="5">
        <f t="shared" si="0"/>
        <v>1125</v>
      </c>
      <c r="C10" s="4">
        <v>40</v>
      </c>
      <c r="D10" s="5"/>
      <c r="E10" s="4"/>
      <c r="F10" s="5">
        <v>5</v>
      </c>
      <c r="G10" s="5"/>
      <c r="H10" s="4"/>
      <c r="I10" s="5">
        <v>2</v>
      </c>
      <c r="J10" s="4"/>
      <c r="K10" s="4"/>
      <c r="L10" s="4"/>
      <c r="M10" s="4">
        <v>97</v>
      </c>
      <c r="N10" s="4"/>
      <c r="O10" s="4">
        <v>733</v>
      </c>
      <c r="P10" s="4">
        <v>248</v>
      </c>
    </row>
    <row r="11" spans="1:16" ht="15">
      <c r="A11" s="4" t="s">
        <v>91</v>
      </c>
      <c r="B11" s="5">
        <f t="shared" si="0"/>
        <v>171</v>
      </c>
      <c r="C11" s="4">
        <v>11</v>
      </c>
      <c r="D11" s="5"/>
      <c r="E11" s="4"/>
      <c r="F11" s="5">
        <v>4</v>
      </c>
      <c r="G11" s="5"/>
      <c r="H11" s="4"/>
      <c r="I11" s="5"/>
      <c r="J11" s="4"/>
      <c r="K11" s="4"/>
      <c r="L11" s="4"/>
      <c r="M11" s="4">
        <v>34</v>
      </c>
      <c r="N11" s="4"/>
      <c r="O11" s="4">
        <v>122</v>
      </c>
      <c r="P11" s="4"/>
    </row>
    <row r="12" spans="1:16" ht="15">
      <c r="A12" s="4" t="s">
        <v>42</v>
      </c>
      <c r="B12" s="5">
        <f t="shared" si="0"/>
        <v>37269</v>
      </c>
      <c r="C12" s="4">
        <f>SUM(746+3079)</f>
        <v>3825</v>
      </c>
      <c r="D12" s="5">
        <v>4281</v>
      </c>
      <c r="E12" s="4">
        <v>1256</v>
      </c>
      <c r="F12" s="5">
        <v>104</v>
      </c>
      <c r="G12" s="5">
        <v>124</v>
      </c>
      <c r="H12" s="4">
        <v>993</v>
      </c>
      <c r="I12" s="5">
        <v>143</v>
      </c>
      <c r="J12" s="4">
        <v>135</v>
      </c>
      <c r="K12" s="4">
        <v>3318</v>
      </c>
      <c r="L12" s="4">
        <v>56</v>
      </c>
      <c r="M12" s="4">
        <v>8378</v>
      </c>
      <c r="N12" s="4">
        <v>631</v>
      </c>
      <c r="O12" s="4">
        <v>12053</v>
      </c>
      <c r="P12" s="4">
        <f>SUM(16838-631-56-3318-135-143-993-124-104-1256-4281-3825)</f>
        <v>1972</v>
      </c>
    </row>
    <row r="13" spans="1:16" ht="15">
      <c r="A13" s="4" t="s">
        <v>92</v>
      </c>
      <c r="B13" s="5">
        <f t="shared" si="0"/>
        <v>119</v>
      </c>
      <c r="C13" s="4"/>
      <c r="D13" s="5"/>
      <c r="E13" s="4"/>
      <c r="F13" s="5">
        <v>3</v>
      </c>
      <c r="G13" s="5"/>
      <c r="H13" s="4"/>
      <c r="I13" s="5"/>
      <c r="J13" s="4"/>
      <c r="K13" s="4"/>
      <c r="L13" s="4"/>
      <c r="M13" s="4">
        <v>27</v>
      </c>
      <c r="N13" s="4"/>
      <c r="O13" s="4">
        <v>89</v>
      </c>
      <c r="P13" s="4"/>
    </row>
    <row r="14" spans="1:16" ht="15">
      <c r="A14" s="4" t="s">
        <v>93</v>
      </c>
      <c r="B14" s="5">
        <f t="shared" si="0"/>
        <v>15161</v>
      </c>
      <c r="C14" s="4">
        <f>SUM(557+401)</f>
        <v>958</v>
      </c>
      <c r="D14" s="5">
        <v>1330</v>
      </c>
      <c r="E14" s="4">
        <v>5478</v>
      </c>
      <c r="F14" s="5">
        <v>90</v>
      </c>
      <c r="G14" s="5">
        <v>107</v>
      </c>
      <c r="H14" s="4">
        <v>137</v>
      </c>
      <c r="I14" s="5">
        <v>48</v>
      </c>
      <c r="J14" s="4">
        <v>28</v>
      </c>
      <c r="K14" s="4">
        <v>2</v>
      </c>
      <c r="L14" s="4">
        <v>5</v>
      </c>
      <c r="M14" s="4">
        <v>1223</v>
      </c>
      <c r="N14" s="4">
        <v>77</v>
      </c>
      <c r="O14" s="4">
        <v>5322</v>
      </c>
      <c r="P14" s="4">
        <f>SUM(8616-77-5-2-28-48-137-107-90-5478-1330-958)</f>
        <v>356</v>
      </c>
    </row>
    <row r="15" spans="1:16" ht="15">
      <c r="A15" s="4" t="s">
        <v>94</v>
      </c>
      <c r="B15" s="5">
        <f t="shared" si="0"/>
        <v>153</v>
      </c>
      <c r="C15" s="4">
        <v>3</v>
      </c>
      <c r="D15" s="5"/>
      <c r="E15" s="4"/>
      <c r="F15" s="5">
        <v>4</v>
      </c>
      <c r="G15" s="5">
        <v>3</v>
      </c>
      <c r="H15" s="4"/>
      <c r="I15" s="5"/>
      <c r="J15" s="4"/>
      <c r="K15" s="4"/>
      <c r="L15" s="4"/>
      <c r="M15" s="4">
        <v>46</v>
      </c>
      <c r="N15" s="4"/>
      <c r="O15" s="4">
        <v>95</v>
      </c>
      <c r="P15" s="4">
        <v>2</v>
      </c>
    </row>
    <row r="16" spans="1:16" ht="15" customHeight="1">
      <c r="A16" s="4" t="s">
        <v>23</v>
      </c>
      <c r="B16" s="5">
        <f t="shared" si="0"/>
        <v>243</v>
      </c>
      <c r="C16" s="4"/>
      <c r="D16" s="5"/>
      <c r="E16" s="4"/>
      <c r="F16" s="5">
        <v>1</v>
      </c>
      <c r="G16" s="5"/>
      <c r="H16" s="4"/>
      <c r="I16" s="5"/>
      <c r="J16" s="4"/>
      <c r="K16" s="4"/>
      <c r="L16" s="4"/>
      <c r="M16" s="4">
        <v>54</v>
      </c>
      <c r="N16" s="4">
        <v>12</v>
      </c>
      <c r="O16" s="4">
        <v>176</v>
      </c>
      <c r="P16" s="4"/>
    </row>
    <row r="17" spans="1:16" ht="15">
      <c r="A17" s="4"/>
      <c r="B17" s="5"/>
      <c r="C17" s="4"/>
      <c r="D17" s="5"/>
      <c r="E17" s="4"/>
      <c r="F17" s="5"/>
      <c r="G17" s="5"/>
      <c r="H17" s="4"/>
      <c r="I17" s="5"/>
      <c r="J17" s="4"/>
      <c r="K17" s="4"/>
      <c r="L17" s="4"/>
      <c r="M17" s="4"/>
      <c r="N17" s="4"/>
      <c r="O17" s="4"/>
      <c r="P17" s="4"/>
    </row>
    <row r="18" spans="1:16" ht="15">
      <c r="A18" s="4" t="s">
        <v>9</v>
      </c>
      <c r="B18" s="5">
        <f>SUM(B9:B17)</f>
        <v>54445</v>
      </c>
      <c r="C18" s="4"/>
      <c r="D18" s="5"/>
      <c r="E18" s="4"/>
      <c r="F18" s="5"/>
      <c r="G18" s="5"/>
      <c r="H18" s="4"/>
      <c r="I18" s="5"/>
      <c r="J18" s="4"/>
      <c r="K18" s="4"/>
      <c r="L18" s="4"/>
      <c r="M18" s="4"/>
      <c r="N18" s="4"/>
      <c r="O18" s="4"/>
      <c r="P18" s="4"/>
    </row>
    <row r="20" ht="15">
      <c r="B20" s="2" t="s">
        <v>312</v>
      </c>
    </row>
    <row r="22" ht="15">
      <c r="B22" s="2" t="s">
        <v>313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8"/>
  <sheetViews>
    <sheetView defaultGridColor="0" zoomScalePageLayoutView="0" colorId="8" workbookViewId="0" topLeftCell="A17">
      <selection activeCell="A5" sqref="A5:N5"/>
    </sheetView>
  </sheetViews>
  <sheetFormatPr defaultColWidth="8.88671875" defaultRowHeight="15"/>
  <cols>
    <col min="1" max="1" width="10.21484375" style="0" customWidth="1"/>
    <col min="2" max="2" width="8.5546875" style="0" customWidth="1"/>
    <col min="3" max="3" width="7.4453125" style="0" customWidth="1"/>
    <col min="4" max="4" width="7.3359375" style="0" customWidth="1"/>
    <col min="5" max="5" width="5.77734375" style="0" customWidth="1"/>
    <col min="6" max="6" width="4.6640625" style="0" customWidth="1"/>
    <col min="7" max="7" width="6.5546875" style="0" customWidth="1"/>
    <col min="8" max="8" width="5.99609375" style="0" customWidth="1"/>
    <col min="10" max="10" width="5.6640625" style="0" customWidth="1"/>
    <col min="11" max="11" width="6.6640625" style="0" customWidth="1"/>
    <col min="12" max="13" width="7.88671875" style="0" customWidth="1"/>
    <col min="14" max="14" width="6.10546875" style="0" customWidth="1"/>
  </cols>
  <sheetData>
    <row r="1" spans="1:14" ht="18.75" customHeight="1">
      <c r="A1" s="36" t="s">
        <v>130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</row>
    <row r="2" spans="1:14" ht="18.75" customHeight="1">
      <c r="A2" s="36" t="s">
        <v>311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</row>
    <row r="3" ht="18.75">
      <c r="A3" s="1"/>
    </row>
    <row r="4" spans="1:14" ht="15">
      <c r="A4" s="34" t="s">
        <v>326</v>
      </c>
      <c r="B4" s="35"/>
      <c r="C4" s="35"/>
      <c r="D4" s="35"/>
      <c r="E4" s="35"/>
      <c r="F4" s="35"/>
      <c r="G4" s="35"/>
      <c r="H4" s="35"/>
      <c r="I4" s="37"/>
      <c r="J4" s="37"/>
      <c r="K4" s="37"/>
      <c r="L4" s="37"/>
      <c r="M4" s="37"/>
      <c r="N4" s="37"/>
    </row>
    <row r="5" spans="1:14" ht="15">
      <c r="A5" s="34" t="s">
        <v>20</v>
      </c>
      <c r="B5" s="35"/>
      <c r="C5" s="35"/>
      <c r="D5" s="35"/>
      <c r="E5" s="35"/>
      <c r="F5" s="35"/>
      <c r="G5" s="35"/>
      <c r="H5" s="35"/>
      <c r="I5" s="37"/>
      <c r="J5" s="37"/>
      <c r="K5" s="37"/>
      <c r="L5" s="37"/>
      <c r="M5" s="37"/>
      <c r="N5" s="37"/>
    </row>
    <row r="6" spans="1:14" ht="15">
      <c r="A6" s="34" t="s">
        <v>19</v>
      </c>
      <c r="B6" s="35"/>
      <c r="C6" s="35"/>
      <c r="D6" s="35"/>
      <c r="E6" s="35"/>
      <c r="F6" s="35"/>
      <c r="G6" s="35"/>
      <c r="H6" s="35"/>
      <c r="I6" s="35"/>
      <c r="J6" s="37"/>
      <c r="K6" s="37"/>
      <c r="L6" s="37"/>
      <c r="M6" s="37"/>
      <c r="N6" s="37"/>
    </row>
    <row r="7" spans="1:8" ht="15">
      <c r="A7" s="14"/>
      <c r="B7" s="15"/>
      <c r="C7" s="15"/>
      <c r="D7" s="15"/>
      <c r="E7" s="15"/>
      <c r="F7" s="15"/>
      <c r="G7" s="15"/>
      <c r="H7" s="15"/>
    </row>
    <row r="8" spans="1:14" ht="22.5" customHeight="1">
      <c r="A8" s="3" t="s">
        <v>10</v>
      </c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310</v>
      </c>
      <c r="L8" s="9" t="s">
        <v>7</v>
      </c>
      <c r="M8" s="9" t="s">
        <v>305</v>
      </c>
      <c r="N8" s="3" t="s">
        <v>8</v>
      </c>
    </row>
    <row r="9" spans="1:14" s="10" customFormat="1" ht="15">
      <c r="A9" s="4" t="s">
        <v>96</v>
      </c>
      <c r="B9" s="5">
        <f aca="true" t="shared" si="0" ref="B9:B42">SUM(C9:N9)</f>
        <v>38</v>
      </c>
      <c r="C9" s="4"/>
      <c r="D9" s="5"/>
      <c r="E9" s="4"/>
      <c r="F9" s="5">
        <v>1</v>
      </c>
      <c r="G9" s="5"/>
      <c r="H9" s="4">
        <v>1</v>
      </c>
      <c r="I9" s="5"/>
      <c r="J9" s="4"/>
      <c r="K9" s="4">
        <v>13</v>
      </c>
      <c r="L9" s="4"/>
      <c r="M9" s="4">
        <v>22</v>
      </c>
      <c r="N9" s="4">
        <v>1</v>
      </c>
    </row>
    <row r="10" spans="1:14" ht="15">
      <c r="A10" s="4" t="s">
        <v>97</v>
      </c>
      <c r="B10" s="5">
        <f t="shared" si="0"/>
        <v>404</v>
      </c>
      <c r="C10" s="4">
        <v>41</v>
      </c>
      <c r="D10" s="5">
        <v>16</v>
      </c>
      <c r="E10" s="4"/>
      <c r="F10" s="5">
        <v>20</v>
      </c>
      <c r="G10" s="5"/>
      <c r="H10" s="4"/>
      <c r="I10" s="5"/>
      <c r="J10" s="4"/>
      <c r="K10" s="4">
        <v>60</v>
      </c>
      <c r="L10" s="4">
        <v>10</v>
      </c>
      <c r="M10" s="4">
        <v>253</v>
      </c>
      <c r="N10" s="4">
        <f>SUM(91-10-20-16-41)</f>
        <v>4</v>
      </c>
    </row>
    <row r="11" spans="1:14" ht="15">
      <c r="A11" s="4" t="s">
        <v>98</v>
      </c>
      <c r="B11" s="5">
        <f t="shared" si="0"/>
        <v>656</v>
      </c>
      <c r="C11" s="4">
        <v>9</v>
      </c>
      <c r="D11" s="5"/>
      <c r="E11" s="4"/>
      <c r="F11" s="5">
        <v>3</v>
      </c>
      <c r="G11" s="5">
        <v>25</v>
      </c>
      <c r="H11" s="4">
        <v>2</v>
      </c>
      <c r="I11" s="5"/>
      <c r="J11" s="4"/>
      <c r="K11" s="4">
        <v>54</v>
      </c>
      <c r="L11" s="4"/>
      <c r="M11" s="4">
        <v>563</v>
      </c>
      <c r="N11" s="4"/>
    </row>
    <row r="12" spans="1:14" ht="15" customHeight="1">
      <c r="A12" s="4" t="s">
        <v>99</v>
      </c>
      <c r="B12" s="5">
        <f t="shared" si="0"/>
        <v>42</v>
      </c>
      <c r="C12" s="4">
        <v>1</v>
      </c>
      <c r="D12" s="5"/>
      <c r="E12" s="4"/>
      <c r="F12" s="5">
        <v>5</v>
      </c>
      <c r="G12" s="5"/>
      <c r="H12" s="4"/>
      <c r="I12" s="5"/>
      <c r="J12" s="4"/>
      <c r="K12" s="4">
        <v>9</v>
      </c>
      <c r="L12" s="4"/>
      <c r="M12" s="4">
        <v>27</v>
      </c>
      <c r="N12" s="4"/>
    </row>
    <row r="13" spans="1:14" ht="15">
      <c r="A13" s="4" t="s">
        <v>100</v>
      </c>
      <c r="B13" s="5">
        <f t="shared" si="0"/>
        <v>105</v>
      </c>
      <c r="C13" s="4">
        <v>7</v>
      </c>
      <c r="D13" s="5"/>
      <c r="E13" s="4"/>
      <c r="F13" s="5">
        <v>4</v>
      </c>
      <c r="G13" s="5"/>
      <c r="H13" s="4"/>
      <c r="I13" s="5">
        <v>1</v>
      </c>
      <c r="J13" s="4"/>
      <c r="K13" s="4">
        <v>29</v>
      </c>
      <c r="L13" s="4"/>
      <c r="M13" s="4">
        <v>64</v>
      </c>
      <c r="N13" s="4"/>
    </row>
    <row r="14" spans="1:14" ht="15">
      <c r="A14" s="4" t="s">
        <v>101</v>
      </c>
      <c r="B14" s="5">
        <f t="shared" si="0"/>
        <v>166</v>
      </c>
      <c r="C14" s="4">
        <v>10</v>
      </c>
      <c r="D14" s="5"/>
      <c r="E14" s="4"/>
      <c r="F14" s="5">
        <v>6</v>
      </c>
      <c r="G14" s="5"/>
      <c r="H14" s="4"/>
      <c r="I14" s="5"/>
      <c r="J14" s="4"/>
      <c r="K14" s="4">
        <v>34</v>
      </c>
      <c r="L14" s="4"/>
      <c r="M14" s="4">
        <v>115</v>
      </c>
      <c r="N14" s="4">
        <v>1</v>
      </c>
    </row>
    <row r="15" spans="1:14" ht="15">
      <c r="A15" s="4" t="s">
        <v>102</v>
      </c>
      <c r="B15" s="5">
        <f t="shared" si="0"/>
        <v>46</v>
      </c>
      <c r="C15" s="4">
        <v>11</v>
      </c>
      <c r="D15" s="5"/>
      <c r="E15" s="4"/>
      <c r="F15" s="5">
        <v>3</v>
      </c>
      <c r="G15" s="5"/>
      <c r="H15" s="4"/>
      <c r="I15" s="5"/>
      <c r="J15" s="4"/>
      <c r="K15" s="4">
        <v>10</v>
      </c>
      <c r="L15" s="4"/>
      <c r="M15" s="4">
        <v>18</v>
      </c>
      <c r="N15" s="4">
        <v>4</v>
      </c>
    </row>
    <row r="16" spans="1:14" ht="15">
      <c r="A16" s="4" t="s">
        <v>103</v>
      </c>
      <c r="B16" s="5">
        <f t="shared" si="0"/>
        <v>16</v>
      </c>
      <c r="C16" s="4"/>
      <c r="D16" s="5"/>
      <c r="E16" s="4"/>
      <c r="F16" s="5">
        <v>1</v>
      </c>
      <c r="G16" s="5"/>
      <c r="H16" s="4"/>
      <c r="I16" s="5"/>
      <c r="J16" s="4"/>
      <c r="K16" s="4">
        <v>6</v>
      </c>
      <c r="L16" s="4"/>
      <c r="M16" s="4">
        <v>9</v>
      </c>
      <c r="N16" s="4"/>
    </row>
    <row r="17" spans="1:14" ht="15">
      <c r="A17" s="4" t="s">
        <v>104</v>
      </c>
      <c r="B17" s="5">
        <f t="shared" si="0"/>
        <v>178</v>
      </c>
      <c r="C17" s="4"/>
      <c r="D17" s="5"/>
      <c r="E17" s="4"/>
      <c r="F17" s="5">
        <v>117</v>
      </c>
      <c r="G17" s="5"/>
      <c r="H17" s="4"/>
      <c r="I17" s="5"/>
      <c r="J17" s="4"/>
      <c r="K17" s="4">
        <v>23</v>
      </c>
      <c r="L17" s="4"/>
      <c r="M17" s="4">
        <v>38</v>
      </c>
      <c r="N17" s="4"/>
    </row>
    <row r="18" spans="1:14" ht="15">
      <c r="A18" s="4" t="s">
        <v>105</v>
      </c>
      <c r="B18" s="5">
        <f t="shared" si="0"/>
        <v>382</v>
      </c>
      <c r="C18" s="4"/>
      <c r="D18" s="5"/>
      <c r="E18" s="4"/>
      <c r="F18" s="5">
        <v>2</v>
      </c>
      <c r="G18" s="5"/>
      <c r="H18" s="4"/>
      <c r="I18" s="5">
        <v>2</v>
      </c>
      <c r="J18" s="4"/>
      <c r="K18" s="4">
        <v>142</v>
      </c>
      <c r="L18" s="4">
        <v>23</v>
      </c>
      <c r="M18" s="4">
        <v>212</v>
      </c>
      <c r="N18" s="4">
        <v>1</v>
      </c>
    </row>
    <row r="19" spans="1:14" ht="15">
      <c r="A19" s="4" t="s">
        <v>106</v>
      </c>
      <c r="B19" s="5">
        <f t="shared" si="0"/>
        <v>465</v>
      </c>
      <c r="C19" s="4">
        <v>11</v>
      </c>
      <c r="D19" s="5"/>
      <c r="E19" s="4"/>
      <c r="F19" s="5">
        <v>11</v>
      </c>
      <c r="G19" s="5"/>
      <c r="H19" s="4"/>
      <c r="I19" s="5">
        <v>1</v>
      </c>
      <c r="J19" s="4"/>
      <c r="K19" s="4">
        <v>35</v>
      </c>
      <c r="L19" s="4"/>
      <c r="M19" s="4">
        <v>406</v>
      </c>
      <c r="N19" s="4">
        <v>1</v>
      </c>
    </row>
    <row r="20" spans="1:14" ht="15">
      <c r="A20" s="4" t="s">
        <v>107</v>
      </c>
      <c r="B20" s="5">
        <f t="shared" si="0"/>
        <v>15</v>
      </c>
      <c r="C20" s="4"/>
      <c r="D20" s="5"/>
      <c r="E20" s="4"/>
      <c r="F20" s="5"/>
      <c r="G20" s="5"/>
      <c r="H20" s="4"/>
      <c r="I20" s="5"/>
      <c r="J20" s="4"/>
      <c r="K20" s="4">
        <v>4</v>
      </c>
      <c r="L20" s="4"/>
      <c r="M20" s="4">
        <v>11</v>
      </c>
      <c r="N20" s="4"/>
    </row>
    <row r="21" spans="1:14" ht="15">
      <c r="A21" s="4" t="s">
        <v>108</v>
      </c>
      <c r="B21" s="5">
        <f t="shared" si="0"/>
        <v>53</v>
      </c>
      <c r="C21" s="4">
        <v>1</v>
      </c>
      <c r="D21" s="5"/>
      <c r="E21" s="4"/>
      <c r="F21" s="5">
        <v>3</v>
      </c>
      <c r="G21" s="5"/>
      <c r="H21" s="4"/>
      <c r="I21" s="5"/>
      <c r="J21" s="4"/>
      <c r="K21" s="4">
        <v>9</v>
      </c>
      <c r="L21" s="4"/>
      <c r="M21" s="4">
        <v>40</v>
      </c>
      <c r="N21" s="4"/>
    </row>
    <row r="22" spans="1:14" ht="15">
      <c r="A22" s="4" t="s">
        <v>109</v>
      </c>
      <c r="B22" s="5">
        <f t="shared" si="0"/>
        <v>492</v>
      </c>
      <c r="C22" s="4">
        <v>1</v>
      </c>
      <c r="D22" s="5"/>
      <c r="E22" s="4"/>
      <c r="F22" s="5">
        <v>10</v>
      </c>
      <c r="G22" s="5"/>
      <c r="H22" s="4"/>
      <c r="I22" s="5"/>
      <c r="J22" s="4"/>
      <c r="K22" s="4">
        <v>36</v>
      </c>
      <c r="L22" s="4"/>
      <c r="M22" s="4">
        <v>442</v>
      </c>
      <c r="N22" s="4">
        <v>3</v>
      </c>
    </row>
    <row r="23" spans="1:14" ht="15">
      <c r="A23" s="4" t="s">
        <v>110</v>
      </c>
      <c r="B23" s="5">
        <f t="shared" si="0"/>
        <v>311</v>
      </c>
      <c r="C23" s="4">
        <v>1</v>
      </c>
      <c r="D23" s="5"/>
      <c r="E23" s="4"/>
      <c r="F23" s="5">
        <v>2</v>
      </c>
      <c r="G23" s="5"/>
      <c r="H23" s="4"/>
      <c r="I23" s="5">
        <v>1</v>
      </c>
      <c r="J23" s="4"/>
      <c r="K23" s="4">
        <v>26</v>
      </c>
      <c r="L23" s="4"/>
      <c r="M23" s="4">
        <v>278</v>
      </c>
      <c r="N23" s="4">
        <v>3</v>
      </c>
    </row>
    <row r="24" spans="1:14" ht="15">
      <c r="A24" s="4" t="s">
        <v>111</v>
      </c>
      <c r="B24" s="5">
        <f t="shared" si="0"/>
        <v>14</v>
      </c>
      <c r="C24" s="4"/>
      <c r="D24" s="5"/>
      <c r="E24" s="4"/>
      <c r="F24" s="5">
        <v>3</v>
      </c>
      <c r="G24" s="5"/>
      <c r="H24" s="4"/>
      <c r="I24" s="5"/>
      <c r="J24" s="4"/>
      <c r="K24" s="4">
        <v>6</v>
      </c>
      <c r="L24" s="4"/>
      <c r="M24" s="4">
        <v>4</v>
      </c>
      <c r="N24" s="4">
        <v>1</v>
      </c>
    </row>
    <row r="25" spans="1:14" ht="15">
      <c r="A25" s="4" t="s">
        <v>112</v>
      </c>
      <c r="B25" s="5">
        <f t="shared" si="0"/>
        <v>56</v>
      </c>
      <c r="C25" s="4">
        <v>3</v>
      </c>
      <c r="D25" s="5"/>
      <c r="E25" s="4"/>
      <c r="F25" s="5">
        <v>4</v>
      </c>
      <c r="G25" s="5"/>
      <c r="H25" s="4"/>
      <c r="I25" s="5"/>
      <c r="J25" s="4"/>
      <c r="K25" s="4">
        <v>10</v>
      </c>
      <c r="L25" s="4"/>
      <c r="M25" s="4">
        <v>39</v>
      </c>
      <c r="N25" s="4"/>
    </row>
    <row r="26" spans="1:14" ht="15">
      <c r="A26" s="4" t="s">
        <v>113</v>
      </c>
      <c r="B26" s="5">
        <f t="shared" si="0"/>
        <v>84</v>
      </c>
      <c r="C26" s="4">
        <v>1</v>
      </c>
      <c r="D26" s="5"/>
      <c r="E26" s="4"/>
      <c r="F26" s="5">
        <v>8</v>
      </c>
      <c r="G26" s="5"/>
      <c r="H26" s="4"/>
      <c r="I26" s="5">
        <v>1</v>
      </c>
      <c r="J26" s="4"/>
      <c r="K26" s="4">
        <v>19</v>
      </c>
      <c r="L26" s="4"/>
      <c r="M26" s="4">
        <v>55</v>
      </c>
      <c r="N26" s="4"/>
    </row>
    <row r="27" spans="1:14" ht="15">
      <c r="A27" s="4" t="s">
        <v>114</v>
      </c>
      <c r="B27" s="5">
        <f t="shared" si="0"/>
        <v>26</v>
      </c>
      <c r="C27" s="4"/>
      <c r="D27" s="5"/>
      <c r="E27" s="4"/>
      <c r="F27" s="5">
        <v>1</v>
      </c>
      <c r="G27" s="5"/>
      <c r="H27" s="4"/>
      <c r="I27" s="5"/>
      <c r="J27" s="4"/>
      <c r="K27" s="4">
        <v>5</v>
      </c>
      <c r="L27" s="4"/>
      <c r="M27" s="4">
        <v>20</v>
      </c>
      <c r="N27" s="4"/>
    </row>
    <row r="28" spans="1:14" ht="15">
      <c r="A28" s="4" t="s">
        <v>115</v>
      </c>
      <c r="B28" s="5">
        <f t="shared" si="0"/>
        <v>949</v>
      </c>
      <c r="C28" s="4">
        <v>96</v>
      </c>
      <c r="D28" s="5"/>
      <c r="E28" s="4">
        <v>17</v>
      </c>
      <c r="F28" s="5">
        <v>4</v>
      </c>
      <c r="G28" s="5"/>
      <c r="H28" s="4">
        <v>48</v>
      </c>
      <c r="I28" s="5">
        <v>34</v>
      </c>
      <c r="J28" s="4">
        <v>2</v>
      </c>
      <c r="K28" s="4">
        <v>284</v>
      </c>
      <c r="L28" s="4">
        <v>11</v>
      </c>
      <c r="M28" s="4">
        <v>406</v>
      </c>
      <c r="N28" s="4">
        <f>SUM(259-11-2-34-48-4-17-96)</f>
        <v>47</v>
      </c>
    </row>
    <row r="29" spans="1:14" ht="15">
      <c r="A29" s="4" t="s">
        <v>116</v>
      </c>
      <c r="B29" s="5">
        <f t="shared" si="0"/>
        <v>69</v>
      </c>
      <c r="C29" s="4"/>
      <c r="D29" s="5"/>
      <c r="E29" s="4"/>
      <c r="F29" s="5">
        <v>5</v>
      </c>
      <c r="G29" s="5"/>
      <c r="H29" s="4"/>
      <c r="I29" s="5"/>
      <c r="J29" s="4"/>
      <c r="K29" s="4">
        <v>14</v>
      </c>
      <c r="L29" s="4"/>
      <c r="M29" s="4">
        <v>50</v>
      </c>
      <c r="N29" s="4"/>
    </row>
    <row r="30" spans="1:14" ht="15">
      <c r="A30" s="4" t="s">
        <v>117</v>
      </c>
      <c r="B30" s="5">
        <f t="shared" si="0"/>
        <v>43</v>
      </c>
      <c r="C30" s="4">
        <v>1</v>
      </c>
      <c r="D30" s="5"/>
      <c r="E30" s="4"/>
      <c r="F30" s="5">
        <v>2</v>
      </c>
      <c r="G30" s="5"/>
      <c r="H30" s="4"/>
      <c r="I30" s="5"/>
      <c r="J30" s="4"/>
      <c r="K30" s="4">
        <v>15</v>
      </c>
      <c r="L30" s="4"/>
      <c r="M30" s="4">
        <v>25</v>
      </c>
      <c r="N30" s="4"/>
    </row>
    <row r="31" spans="1:14" ht="15">
      <c r="A31" s="4" t="s">
        <v>118</v>
      </c>
      <c r="B31" s="5">
        <f t="shared" si="0"/>
        <v>104</v>
      </c>
      <c r="C31" s="4">
        <v>1</v>
      </c>
      <c r="D31" s="5"/>
      <c r="E31" s="4"/>
      <c r="F31" s="5">
        <v>13</v>
      </c>
      <c r="G31" s="5"/>
      <c r="H31" s="4"/>
      <c r="I31" s="5"/>
      <c r="J31" s="4"/>
      <c r="K31" s="4">
        <v>30</v>
      </c>
      <c r="L31" s="4"/>
      <c r="M31" s="4">
        <v>60</v>
      </c>
      <c r="N31" s="4"/>
    </row>
    <row r="32" spans="1:14" ht="15">
      <c r="A32" s="4" t="s">
        <v>119</v>
      </c>
      <c r="B32" s="5">
        <f t="shared" si="0"/>
        <v>15</v>
      </c>
      <c r="C32" s="4"/>
      <c r="D32" s="5"/>
      <c r="E32" s="4"/>
      <c r="F32" s="5">
        <v>6</v>
      </c>
      <c r="G32" s="5"/>
      <c r="H32" s="4"/>
      <c r="I32" s="5"/>
      <c r="J32" s="4"/>
      <c r="K32" s="4">
        <v>4</v>
      </c>
      <c r="L32" s="4"/>
      <c r="M32" s="4">
        <v>5</v>
      </c>
      <c r="N32" s="4"/>
    </row>
    <row r="33" spans="1:14" ht="15">
      <c r="A33" s="4" t="s">
        <v>120</v>
      </c>
      <c r="B33" s="5">
        <f t="shared" si="0"/>
        <v>116</v>
      </c>
      <c r="C33" s="4">
        <v>1</v>
      </c>
      <c r="D33" s="5"/>
      <c r="E33" s="4"/>
      <c r="F33" s="5">
        <v>6</v>
      </c>
      <c r="G33" s="5"/>
      <c r="H33" s="4"/>
      <c r="I33" s="5"/>
      <c r="J33" s="4"/>
      <c r="K33" s="4">
        <v>29</v>
      </c>
      <c r="L33" s="4"/>
      <c r="M33" s="4">
        <v>80</v>
      </c>
      <c r="N33" s="4"/>
    </row>
    <row r="34" spans="1:14" ht="15">
      <c r="A34" s="4" t="s">
        <v>121</v>
      </c>
      <c r="B34" s="5">
        <f t="shared" si="0"/>
        <v>77</v>
      </c>
      <c r="C34" s="4"/>
      <c r="D34" s="5"/>
      <c r="E34" s="4"/>
      <c r="F34" s="5">
        <v>5</v>
      </c>
      <c r="G34" s="5"/>
      <c r="H34" s="4"/>
      <c r="I34" s="5"/>
      <c r="J34" s="4"/>
      <c r="K34" s="4">
        <v>15</v>
      </c>
      <c r="L34" s="4"/>
      <c r="M34" s="4">
        <v>57</v>
      </c>
      <c r="N34" s="4"/>
    </row>
    <row r="35" spans="1:14" ht="15">
      <c r="A35" s="4" t="s">
        <v>122</v>
      </c>
      <c r="B35" s="5">
        <f t="shared" si="0"/>
        <v>24</v>
      </c>
      <c r="C35" s="4"/>
      <c r="D35" s="5"/>
      <c r="E35" s="4"/>
      <c r="F35" s="5">
        <v>7</v>
      </c>
      <c r="G35" s="5"/>
      <c r="H35" s="4"/>
      <c r="I35" s="5"/>
      <c r="J35" s="4"/>
      <c r="K35" s="4">
        <v>3</v>
      </c>
      <c r="L35" s="4"/>
      <c r="M35" s="4">
        <v>14</v>
      </c>
      <c r="N35" s="4"/>
    </row>
    <row r="36" spans="1:14" ht="15">
      <c r="A36" s="4" t="s">
        <v>123</v>
      </c>
      <c r="B36" s="5">
        <f t="shared" si="0"/>
        <v>78</v>
      </c>
      <c r="C36" s="4">
        <v>2</v>
      </c>
      <c r="D36" s="5"/>
      <c r="E36" s="4"/>
      <c r="F36" s="5">
        <v>6</v>
      </c>
      <c r="G36" s="5"/>
      <c r="H36" s="4"/>
      <c r="I36" s="5"/>
      <c r="J36" s="4"/>
      <c r="K36" s="4">
        <v>27</v>
      </c>
      <c r="L36" s="4"/>
      <c r="M36" s="4">
        <v>43</v>
      </c>
      <c r="N36" s="4"/>
    </row>
    <row r="37" spans="1:14" ht="15">
      <c r="A37" s="4" t="s">
        <v>124</v>
      </c>
      <c r="B37" s="5">
        <f t="shared" si="0"/>
        <v>5</v>
      </c>
      <c r="C37" s="4"/>
      <c r="D37" s="5"/>
      <c r="E37" s="4"/>
      <c r="F37" s="5">
        <v>2</v>
      </c>
      <c r="G37" s="5"/>
      <c r="H37" s="4"/>
      <c r="I37" s="5"/>
      <c r="J37" s="4"/>
      <c r="K37" s="4">
        <v>1</v>
      </c>
      <c r="L37" s="4"/>
      <c r="M37" s="4">
        <v>2</v>
      </c>
      <c r="N37" s="4"/>
    </row>
    <row r="38" spans="1:14" ht="15">
      <c r="A38" s="4" t="s">
        <v>125</v>
      </c>
      <c r="B38" s="5">
        <f t="shared" si="0"/>
        <v>22</v>
      </c>
      <c r="C38" s="4">
        <v>1</v>
      </c>
      <c r="D38" s="5"/>
      <c r="E38" s="4"/>
      <c r="F38" s="5">
        <v>5</v>
      </c>
      <c r="G38" s="5"/>
      <c r="H38" s="4"/>
      <c r="I38" s="5"/>
      <c r="J38" s="4"/>
      <c r="K38" s="4">
        <v>3</v>
      </c>
      <c r="L38" s="4"/>
      <c r="M38" s="4">
        <v>13</v>
      </c>
      <c r="N38" s="4"/>
    </row>
    <row r="39" spans="1:14" ht="15">
      <c r="A39" s="4" t="s">
        <v>126</v>
      </c>
      <c r="B39" s="5">
        <f t="shared" si="0"/>
        <v>2174</v>
      </c>
      <c r="C39" s="4">
        <f>SUM(827+91)</f>
        <v>918</v>
      </c>
      <c r="D39" s="5"/>
      <c r="E39" s="4">
        <v>6</v>
      </c>
      <c r="F39" s="5">
        <v>59</v>
      </c>
      <c r="G39" s="5">
        <v>15</v>
      </c>
      <c r="H39" s="4">
        <v>11</v>
      </c>
      <c r="I39" s="5">
        <v>35</v>
      </c>
      <c r="J39" s="4"/>
      <c r="K39" s="4">
        <v>150</v>
      </c>
      <c r="L39" s="4">
        <v>19</v>
      </c>
      <c r="M39" s="4">
        <v>954</v>
      </c>
      <c r="N39" s="4">
        <f>SUM(1070-19-35-11-15-59-6-918)</f>
        <v>7</v>
      </c>
    </row>
    <row r="40" spans="1:14" ht="15">
      <c r="A40" s="4" t="s">
        <v>127</v>
      </c>
      <c r="B40" s="5">
        <f t="shared" si="0"/>
        <v>17</v>
      </c>
      <c r="C40" s="4"/>
      <c r="D40" s="5"/>
      <c r="E40" s="4"/>
      <c r="F40" s="5">
        <v>2</v>
      </c>
      <c r="G40" s="5"/>
      <c r="H40" s="4"/>
      <c r="I40" s="5"/>
      <c r="J40" s="4"/>
      <c r="K40" s="4">
        <v>5</v>
      </c>
      <c r="L40" s="4"/>
      <c r="M40" s="4">
        <v>10</v>
      </c>
      <c r="N40" s="4"/>
    </row>
    <row r="41" spans="1:14" ht="15">
      <c r="A41" s="4" t="s">
        <v>128</v>
      </c>
      <c r="B41" s="5">
        <f t="shared" si="0"/>
        <v>58</v>
      </c>
      <c r="C41" s="4"/>
      <c r="D41" s="5"/>
      <c r="E41" s="4"/>
      <c r="F41" s="5">
        <v>2</v>
      </c>
      <c r="G41" s="5"/>
      <c r="H41" s="4"/>
      <c r="I41" s="5"/>
      <c r="J41" s="4"/>
      <c r="K41" s="4">
        <v>16</v>
      </c>
      <c r="L41" s="4"/>
      <c r="M41" s="4">
        <v>39</v>
      </c>
      <c r="N41" s="4">
        <v>1</v>
      </c>
    </row>
    <row r="42" spans="1:14" ht="15">
      <c r="A42" s="4" t="s">
        <v>129</v>
      </c>
      <c r="B42" s="5">
        <f t="shared" si="0"/>
        <v>25</v>
      </c>
      <c r="C42" s="4"/>
      <c r="D42" s="5"/>
      <c r="E42" s="4"/>
      <c r="F42" s="5"/>
      <c r="G42" s="5"/>
      <c r="H42" s="4"/>
      <c r="I42" s="5"/>
      <c r="J42" s="4"/>
      <c r="K42" s="4">
        <v>9</v>
      </c>
      <c r="L42" s="4"/>
      <c r="M42" s="4">
        <v>16</v>
      </c>
      <c r="N42" s="4"/>
    </row>
    <row r="43" spans="1:14" ht="15">
      <c r="A43" s="4"/>
      <c r="B43" s="5"/>
      <c r="C43" s="4"/>
      <c r="D43" s="5"/>
      <c r="E43" s="4"/>
      <c r="F43" s="5"/>
      <c r="G43" s="5"/>
      <c r="H43" s="4"/>
      <c r="I43" s="5"/>
      <c r="J43" s="4"/>
      <c r="K43" s="4"/>
      <c r="L43" s="4"/>
      <c r="M43" s="4"/>
      <c r="N43" s="4"/>
    </row>
    <row r="44" spans="1:14" ht="15">
      <c r="A44" s="4" t="s">
        <v>9</v>
      </c>
      <c r="B44" s="5">
        <f>SUM(B9:B42)</f>
        <v>7325</v>
      </c>
      <c r="C44" s="4"/>
      <c r="D44" s="5"/>
      <c r="E44" s="4"/>
      <c r="F44" s="5"/>
      <c r="G44" s="5"/>
      <c r="H44" s="4"/>
      <c r="I44" s="5"/>
      <c r="J44" s="4"/>
      <c r="K44" s="4"/>
      <c r="L44" s="4"/>
      <c r="M44" s="4"/>
      <c r="N44" s="4"/>
    </row>
    <row r="46" ht="15">
      <c r="B46" s="2" t="s">
        <v>312</v>
      </c>
    </row>
    <row r="47" ht="15">
      <c r="B47" s="2"/>
    </row>
    <row r="48" ht="15">
      <c r="B48" s="2" t="s">
        <v>313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75" right="0.75" top="1" bottom="1" header="0.5" footer="0.5"/>
  <pageSetup horizontalDpi="600" verticalDpi="600" orientation="landscape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7"/>
  <sheetViews>
    <sheetView defaultGridColor="0" zoomScalePageLayoutView="0" colorId="8" workbookViewId="0" topLeftCell="A1">
      <selection activeCell="A5" sqref="A5:O5"/>
    </sheetView>
  </sheetViews>
  <sheetFormatPr defaultColWidth="8.88671875" defaultRowHeight="15"/>
  <cols>
    <col min="1" max="1" width="7.88671875" style="0" customWidth="1"/>
    <col min="2" max="2" width="7.77734375" style="0" customWidth="1"/>
    <col min="3" max="3" width="6.99609375" style="0" customWidth="1"/>
    <col min="4" max="4" width="7.10546875" style="0" customWidth="1"/>
    <col min="5" max="5" width="6.5546875" style="0" customWidth="1"/>
    <col min="6" max="6" width="7.5546875" style="0" customWidth="1"/>
    <col min="7" max="7" width="6.99609375" style="0" customWidth="1"/>
    <col min="8" max="8" width="6.3359375" style="0" customWidth="1"/>
    <col min="9" max="9" width="7.5546875" style="0" customWidth="1"/>
    <col min="10" max="11" width="4.99609375" style="0" customWidth="1"/>
    <col min="12" max="12" width="6.3359375" style="0" customWidth="1"/>
    <col min="13" max="14" width="6.88671875" style="0" customWidth="1"/>
    <col min="15" max="15" width="5.88671875" style="0" customWidth="1"/>
  </cols>
  <sheetData>
    <row r="1" spans="1:15" ht="18.75" customHeight="1">
      <c r="A1" s="36" t="s">
        <v>178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</row>
    <row r="2" spans="1:15" ht="18.75" customHeight="1">
      <c r="A2" s="36" t="s">
        <v>311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</row>
    <row r="3" ht="18.75">
      <c r="A3" s="1"/>
    </row>
    <row r="4" spans="1:15" ht="15">
      <c r="A4" s="34" t="s">
        <v>327</v>
      </c>
      <c r="B4" s="35"/>
      <c r="C4" s="35"/>
      <c r="D4" s="35"/>
      <c r="E4" s="35"/>
      <c r="F4" s="35"/>
      <c r="G4" s="35"/>
      <c r="H4" s="35"/>
      <c r="I4" s="37"/>
      <c r="J4" s="37"/>
      <c r="K4" s="37"/>
      <c r="L4" s="37"/>
      <c r="M4" s="37"/>
      <c r="N4" s="37"/>
      <c r="O4" s="37"/>
    </row>
    <row r="5" spans="1:15" ht="15">
      <c r="A5" s="34" t="s">
        <v>20</v>
      </c>
      <c r="B5" s="35"/>
      <c r="C5" s="35"/>
      <c r="D5" s="35"/>
      <c r="E5" s="35"/>
      <c r="F5" s="35"/>
      <c r="G5" s="35"/>
      <c r="H5" s="35"/>
      <c r="I5" s="37"/>
      <c r="J5" s="37"/>
      <c r="K5" s="37"/>
      <c r="L5" s="37"/>
      <c r="M5" s="37"/>
      <c r="N5" s="37"/>
      <c r="O5" s="37"/>
    </row>
    <row r="6" spans="1:15" ht="15">
      <c r="A6" s="34" t="s">
        <v>19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7"/>
    </row>
    <row r="7" spans="1:8" ht="15">
      <c r="A7" s="14"/>
      <c r="B7" s="15"/>
      <c r="C7" s="15"/>
      <c r="D7" s="15"/>
      <c r="E7" s="15"/>
      <c r="F7" s="15"/>
      <c r="G7" s="15"/>
      <c r="H7" s="15"/>
    </row>
    <row r="8" spans="1:15" ht="22.5" customHeight="1">
      <c r="A8" s="3" t="s">
        <v>10</v>
      </c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13</v>
      </c>
      <c r="L8" s="3" t="s">
        <v>310</v>
      </c>
      <c r="M8" s="9" t="s">
        <v>7</v>
      </c>
      <c r="N8" s="9" t="s">
        <v>305</v>
      </c>
      <c r="O8" s="3" t="s">
        <v>8</v>
      </c>
    </row>
    <row r="9" spans="1:15" s="10" customFormat="1" ht="15">
      <c r="A9" s="4" t="s">
        <v>131</v>
      </c>
      <c r="B9" s="5">
        <f>SUM(C9:O9)</f>
        <v>1141</v>
      </c>
      <c r="C9" s="4">
        <v>16</v>
      </c>
      <c r="D9" s="5"/>
      <c r="E9" s="4"/>
      <c r="F9" s="5">
        <v>17</v>
      </c>
      <c r="G9" s="5"/>
      <c r="H9" s="4">
        <v>1</v>
      </c>
      <c r="I9" s="5">
        <v>1</v>
      </c>
      <c r="J9" s="4"/>
      <c r="K9" s="4"/>
      <c r="L9" s="4">
        <v>150</v>
      </c>
      <c r="M9" s="4"/>
      <c r="N9" s="4">
        <v>948</v>
      </c>
      <c r="O9" s="4">
        <v>8</v>
      </c>
    </row>
    <row r="10" spans="1:15" ht="15">
      <c r="A10" s="4" t="s">
        <v>74</v>
      </c>
      <c r="B10" s="5">
        <f>SUM(C10:O10)</f>
        <v>25262</v>
      </c>
      <c r="C10" s="4">
        <f>SUM(2434+1202)</f>
        <v>3636</v>
      </c>
      <c r="D10" s="5">
        <v>275</v>
      </c>
      <c r="E10" s="4">
        <v>792</v>
      </c>
      <c r="F10" s="5">
        <v>268</v>
      </c>
      <c r="G10" s="5">
        <v>47</v>
      </c>
      <c r="H10" s="4">
        <v>2280</v>
      </c>
      <c r="I10" s="5">
        <v>159</v>
      </c>
      <c r="J10" s="4">
        <v>45</v>
      </c>
      <c r="K10" s="4">
        <v>2</v>
      </c>
      <c r="L10" s="4">
        <v>3791</v>
      </c>
      <c r="M10" s="4">
        <v>210</v>
      </c>
      <c r="N10" s="4">
        <v>10502</v>
      </c>
      <c r="O10" s="4">
        <f>SUM(10969-210-2-45-159-2280-47-268-792-275-3636)</f>
        <v>3255</v>
      </c>
    </row>
    <row r="11" spans="1:15" ht="15">
      <c r="A11" s="17" t="s">
        <v>132</v>
      </c>
      <c r="B11" s="18">
        <f>SUM(C11:O11)</f>
        <v>450</v>
      </c>
      <c r="C11" s="19">
        <v>7</v>
      </c>
      <c r="D11" s="8"/>
      <c r="E11" s="19"/>
      <c r="F11" s="16">
        <v>24</v>
      </c>
      <c r="G11" s="19"/>
      <c r="I11" s="19">
        <v>1</v>
      </c>
      <c r="J11" s="4"/>
      <c r="K11" s="4"/>
      <c r="L11" s="4">
        <v>84</v>
      </c>
      <c r="M11" s="4"/>
      <c r="N11" s="4">
        <v>333</v>
      </c>
      <c r="O11" s="19">
        <v>1</v>
      </c>
    </row>
    <row r="12" spans="1:15" ht="15">
      <c r="A12" s="4"/>
      <c r="B12" s="5"/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  <c r="O12" s="4"/>
    </row>
    <row r="13" spans="1:15" ht="15">
      <c r="A13" s="4" t="s">
        <v>9</v>
      </c>
      <c r="B13" s="5">
        <f>SUM(B9:B11)</f>
        <v>26853</v>
      </c>
      <c r="C13" s="4"/>
      <c r="D13" s="5"/>
      <c r="E13" s="4"/>
      <c r="F13" s="5"/>
      <c r="G13" s="5"/>
      <c r="H13" s="4"/>
      <c r="I13" s="5"/>
      <c r="J13" s="4"/>
      <c r="K13" s="4"/>
      <c r="L13" s="4"/>
      <c r="M13" s="4"/>
      <c r="N13" s="4"/>
      <c r="O13" s="4"/>
    </row>
    <row r="14" spans="1:10" ht="15">
      <c r="A14" s="12"/>
      <c r="B14" s="13"/>
      <c r="C14" s="12"/>
      <c r="D14" s="13"/>
      <c r="E14" s="13"/>
      <c r="F14" s="12"/>
      <c r="G14" s="13"/>
      <c r="H14" s="12"/>
      <c r="I14" s="12"/>
      <c r="J14" s="12"/>
    </row>
    <row r="15" ht="15">
      <c r="B15" s="2" t="s">
        <v>312</v>
      </c>
    </row>
    <row r="17" ht="15">
      <c r="B17" s="2" t="s">
        <v>313</v>
      </c>
    </row>
  </sheetData>
  <sheetProtection/>
  <mergeCells count="5">
    <mergeCell ref="A6:O6"/>
    <mergeCell ref="A1:O1"/>
    <mergeCell ref="A2:O2"/>
    <mergeCell ref="A4:O4"/>
    <mergeCell ref="A5:O5"/>
  </mergeCells>
  <printOptions horizontalCentered="1"/>
  <pageMargins left="0.75" right="0.75" top="1" bottom="1" header="0.5" footer="0.5"/>
  <pageSetup horizontalDpi="600" verticalDpi="600" orientation="landscape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8"/>
  <sheetViews>
    <sheetView defaultGridColor="0" zoomScalePageLayoutView="0" colorId="8" workbookViewId="0" topLeftCell="A1">
      <selection activeCell="A5" sqref="A5:O5"/>
    </sheetView>
  </sheetViews>
  <sheetFormatPr defaultColWidth="8.88671875" defaultRowHeight="15"/>
  <cols>
    <col min="1" max="1" width="12.3359375" style="0" customWidth="1"/>
    <col min="2" max="2" width="8.21484375" style="0" customWidth="1"/>
    <col min="3" max="3" width="7.4453125" style="0" customWidth="1"/>
    <col min="4" max="4" width="6.88671875" style="0" customWidth="1"/>
    <col min="5" max="5" width="5.77734375" style="0" customWidth="1"/>
    <col min="6" max="6" width="5.21484375" style="0" customWidth="1"/>
    <col min="7" max="7" width="7.21484375" style="0" customWidth="1"/>
    <col min="8" max="8" width="5.99609375" style="0" customWidth="1"/>
    <col min="9" max="9" width="7.3359375" style="0" customWidth="1"/>
    <col min="10" max="10" width="5.77734375" style="0" customWidth="1"/>
    <col min="11" max="12" width="6.3359375" style="0" customWidth="1"/>
    <col min="13" max="13" width="7.99609375" style="0" customWidth="1"/>
    <col min="14" max="14" width="6.6640625" style="0" customWidth="1"/>
    <col min="15" max="15" width="5.99609375" style="0" customWidth="1"/>
  </cols>
  <sheetData>
    <row r="1" spans="1:15" ht="18.75" customHeight="1">
      <c r="A1" s="36" t="s">
        <v>177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</row>
    <row r="2" spans="1:15" ht="18.75" customHeight="1">
      <c r="A2" s="36" t="s">
        <v>311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</row>
    <row r="3" ht="18.75">
      <c r="A3" s="1"/>
    </row>
    <row r="4" spans="1:15" ht="15">
      <c r="A4" s="34" t="s">
        <v>328</v>
      </c>
      <c r="B4" s="35"/>
      <c r="C4" s="35"/>
      <c r="D4" s="35"/>
      <c r="E4" s="35"/>
      <c r="F4" s="35"/>
      <c r="G4" s="35"/>
      <c r="H4" s="35"/>
      <c r="I4" s="35"/>
      <c r="J4" s="35"/>
      <c r="K4" s="37"/>
      <c r="L4" s="37"/>
      <c r="M4" s="37"/>
      <c r="N4" s="37"/>
      <c r="O4" s="37"/>
    </row>
    <row r="5" spans="1:15" ht="15">
      <c r="A5" s="34" t="s">
        <v>20</v>
      </c>
      <c r="B5" s="35"/>
      <c r="C5" s="35"/>
      <c r="D5" s="35"/>
      <c r="E5" s="35"/>
      <c r="F5" s="35"/>
      <c r="G5" s="35"/>
      <c r="H5" s="35"/>
      <c r="I5" s="35"/>
      <c r="J5" s="35"/>
      <c r="K5" s="37"/>
      <c r="L5" s="37"/>
      <c r="M5" s="37"/>
      <c r="N5" s="37"/>
      <c r="O5" s="37"/>
    </row>
    <row r="6" spans="1:15" ht="15">
      <c r="A6" s="34" t="s">
        <v>19</v>
      </c>
      <c r="B6" s="35"/>
      <c r="C6" s="35"/>
      <c r="D6" s="35"/>
      <c r="E6" s="35"/>
      <c r="F6" s="35"/>
      <c r="G6" s="35"/>
      <c r="H6" s="35"/>
      <c r="I6" s="35"/>
      <c r="J6" s="35"/>
      <c r="K6" s="37"/>
      <c r="L6" s="37"/>
      <c r="M6" s="37"/>
      <c r="N6" s="37"/>
      <c r="O6" s="37"/>
    </row>
    <row r="7" ht="20.25" customHeight="1"/>
    <row r="8" spans="1:15" s="10" customFormat="1" ht="22.5">
      <c r="A8" s="3" t="s">
        <v>10</v>
      </c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12</v>
      </c>
      <c r="L8" s="3" t="s">
        <v>310</v>
      </c>
      <c r="M8" s="9" t="s">
        <v>7</v>
      </c>
      <c r="N8" s="9" t="s">
        <v>305</v>
      </c>
      <c r="O8" s="3" t="s">
        <v>8</v>
      </c>
    </row>
    <row r="9" spans="1:15" ht="15">
      <c r="A9" s="4" t="s">
        <v>133</v>
      </c>
      <c r="B9" s="5">
        <f aca="true" t="shared" si="0" ref="B9:B45">SUM(C9:O9)</f>
        <v>94</v>
      </c>
      <c r="C9" s="4">
        <v>1</v>
      </c>
      <c r="D9" s="5">
        <v>1</v>
      </c>
      <c r="E9" s="4"/>
      <c r="F9" s="5">
        <v>4</v>
      </c>
      <c r="G9" s="5"/>
      <c r="H9" s="4"/>
      <c r="I9" s="5"/>
      <c r="J9" s="4"/>
      <c r="K9" s="4"/>
      <c r="L9" s="4">
        <v>11</v>
      </c>
      <c r="M9" s="4"/>
      <c r="N9" s="4">
        <v>77</v>
      </c>
      <c r="O9" s="4"/>
    </row>
    <row r="10" spans="1:15" ht="15">
      <c r="A10" s="4" t="s">
        <v>134</v>
      </c>
      <c r="B10" s="5">
        <f t="shared" si="0"/>
        <v>26</v>
      </c>
      <c r="C10" s="4"/>
      <c r="D10" s="5"/>
      <c r="E10" s="4"/>
      <c r="F10" s="5">
        <v>1</v>
      </c>
      <c r="G10" s="5"/>
      <c r="H10" s="4"/>
      <c r="I10" s="5"/>
      <c r="J10" s="4"/>
      <c r="K10" s="4"/>
      <c r="L10" s="4">
        <v>5</v>
      </c>
      <c r="M10" s="4"/>
      <c r="N10" s="4">
        <v>20</v>
      </c>
      <c r="O10" s="4"/>
    </row>
    <row r="11" spans="1:15" ht="15">
      <c r="A11" s="4" t="s">
        <v>135</v>
      </c>
      <c r="B11" s="5">
        <f t="shared" si="0"/>
        <v>52</v>
      </c>
      <c r="C11" s="4"/>
      <c r="D11" s="5"/>
      <c r="E11" s="4"/>
      <c r="F11" s="5">
        <v>5</v>
      </c>
      <c r="G11" s="5"/>
      <c r="H11" s="4"/>
      <c r="I11" s="5"/>
      <c r="J11" s="4"/>
      <c r="K11" s="4"/>
      <c r="L11" s="4">
        <v>10</v>
      </c>
      <c r="M11" s="4"/>
      <c r="N11" s="4">
        <v>37</v>
      </c>
      <c r="O11" s="4"/>
    </row>
    <row r="12" spans="1:15" ht="15">
      <c r="A12" s="4" t="s">
        <v>136</v>
      </c>
      <c r="B12" s="5">
        <f t="shared" si="0"/>
        <v>26</v>
      </c>
      <c r="C12" s="4"/>
      <c r="D12" s="5"/>
      <c r="E12" s="4"/>
      <c r="F12" s="5">
        <v>1</v>
      </c>
      <c r="G12" s="5"/>
      <c r="H12" s="4"/>
      <c r="I12" s="5"/>
      <c r="J12" s="4"/>
      <c r="K12" s="4"/>
      <c r="L12" s="4">
        <v>7</v>
      </c>
      <c r="M12" s="4"/>
      <c r="N12" s="4">
        <v>18</v>
      </c>
      <c r="O12" s="4"/>
    </row>
    <row r="13" spans="1:15" ht="15">
      <c r="A13" s="4" t="s">
        <v>137</v>
      </c>
      <c r="B13" s="5">
        <f t="shared" si="0"/>
        <v>47</v>
      </c>
      <c r="C13" s="4"/>
      <c r="D13" s="5"/>
      <c r="E13" s="4"/>
      <c r="F13" s="5">
        <v>2</v>
      </c>
      <c r="G13" s="5"/>
      <c r="H13" s="4"/>
      <c r="I13" s="5">
        <v>1</v>
      </c>
      <c r="J13" s="4"/>
      <c r="K13" s="4"/>
      <c r="L13" s="4">
        <v>8</v>
      </c>
      <c r="M13" s="4"/>
      <c r="N13" s="4">
        <v>36</v>
      </c>
      <c r="O13" s="4"/>
    </row>
    <row r="14" spans="1:15" ht="15">
      <c r="A14" s="4" t="s">
        <v>138</v>
      </c>
      <c r="B14" s="5">
        <f t="shared" si="0"/>
        <v>69</v>
      </c>
      <c r="C14" s="4"/>
      <c r="D14" s="5"/>
      <c r="E14" s="4"/>
      <c r="F14" s="5">
        <v>3</v>
      </c>
      <c r="G14" s="5"/>
      <c r="H14" s="4"/>
      <c r="I14" s="5"/>
      <c r="J14" s="4"/>
      <c r="K14" s="4"/>
      <c r="L14" s="4">
        <v>19</v>
      </c>
      <c r="M14" s="4"/>
      <c r="N14" s="4">
        <v>47</v>
      </c>
      <c r="O14" s="4"/>
    </row>
    <row r="15" spans="1:15" ht="15">
      <c r="A15" s="4" t="s">
        <v>139</v>
      </c>
      <c r="B15" s="5">
        <f t="shared" si="0"/>
        <v>152</v>
      </c>
      <c r="C15" s="4"/>
      <c r="D15" s="5"/>
      <c r="E15" s="4"/>
      <c r="F15" s="5">
        <v>4</v>
      </c>
      <c r="G15" s="5"/>
      <c r="H15" s="4"/>
      <c r="I15" s="5"/>
      <c r="J15" s="4"/>
      <c r="K15" s="4"/>
      <c r="L15" s="4">
        <v>19</v>
      </c>
      <c r="M15" s="4"/>
      <c r="N15" s="4">
        <v>129</v>
      </c>
      <c r="O15" s="4"/>
    </row>
    <row r="16" spans="1:15" ht="15">
      <c r="A16" s="4" t="s">
        <v>140</v>
      </c>
      <c r="B16" s="5">
        <f t="shared" si="0"/>
        <v>43</v>
      </c>
      <c r="C16" s="4">
        <v>1</v>
      </c>
      <c r="D16" s="5"/>
      <c r="E16" s="4"/>
      <c r="F16" s="5">
        <v>4</v>
      </c>
      <c r="G16" s="5"/>
      <c r="H16" s="4"/>
      <c r="I16" s="5"/>
      <c r="J16" s="4"/>
      <c r="K16" s="4"/>
      <c r="L16" s="4">
        <v>11</v>
      </c>
      <c r="M16" s="4"/>
      <c r="N16" s="4">
        <v>27</v>
      </c>
      <c r="O16" s="4"/>
    </row>
    <row r="17" spans="1:15" ht="15" customHeight="1">
      <c r="A17" s="4" t="s">
        <v>141</v>
      </c>
      <c r="B17" s="5">
        <f t="shared" si="0"/>
        <v>265</v>
      </c>
      <c r="C17" s="4">
        <v>4</v>
      </c>
      <c r="D17" s="5"/>
      <c r="E17" s="4"/>
      <c r="F17" s="5">
        <v>2</v>
      </c>
      <c r="G17" s="5"/>
      <c r="H17" s="4"/>
      <c r="I17" s="5">
        <v>2</v>
      </c>
      <c r="J17" s="4"/>
      <c r="K17" s="4"/>
      <c r="L17" s="4">
        <v>62</v>
      </c>
      <c r="M17" s="4"/>
      <c r="N17" s="4">
        <v>195</v>
      </c>
      <c r="O17" s="4"/>
    </row>
    <row r="18" spans="1:15" ht="15">
      <c r="A18" s="4" t="s">
        <v>142</v>
      </c>
      <c r="B18" s="5">
        <f t="shared" si="0"/>
        <v>23</v>
      </c>
      <c r="C18" s="4"/>
      <c r="D18" s="5"/>
      <c r="E18" s="4"/>
      <c r="F18" s="5">
        <v>4</v>
      </c>
      <c r="G18" s="5"/>
      <c r="H18" s="4"/>
      <c r="I18" s="5"/>
      <c r="J18" s="4"/>
      <c r="K18" s="4"/>
      <c r="L18" s="4">
        <v>4</v>
      </c>
      <c r="M18" s="4"/>
      <c r="N18" s="4">
        <v>15</v>
      </c>
      <c r="O18" s="4"/>
    </row>
    <row r="19" spans="1:15" ht="15">
      <c r="A19" s="4" t="s">
        <v>143</v>
      </c>
      <c r="B19" s="5">
        <f t="shared" si="0"/>
        <v>42</v>
      </c>
      <c r="C19" s="4"/>
      <c r="D19" s="5"/>
      <c r="E19" s="4"/>
      <c r="F19" s="5">
        <v>3</v>
      </c>
      <c r="G19" s="5"/>
      <c r="H19" s="4"/>
      <c r="I19" s="5"/>
      <c r="J19" s="4"/>
      <c r="K19" s="4"/>
      <c r="L19" s="4">
        <v>13</v>
      </c>
      <c r="M19" s="4"/>
      <c r="N19" s="4">
        <v>26</v>
      </c>
      <c r="O19" s="4"/>
    </row>
    <row r="20" spans="1:15" ht="15">
      <c r="A20" s="4" t="s">
        <v>144</v>
      </c>
      <c r="B20" s="5">
        <f t="shared" si="0"/>
        <v>39</v>
      </c>
      <c r="C20" s="4"/>
      <c r="D20" s="5"/>
      <c r="E20" s="4"/>
      <c r="F20" s="5">
        <v>1</v>
      </c>
      <c r="G20" s="5"/>
      <c r="H20" s="4"/>
      <c r="I20" s="5"/>
      <c r="J20" s="4"/>
      <c r="K20" s="4"/>
      <c r="L20" s="4">
        <v>12</v>
      </c>
      <c r="M20" s="4"/>
      <c r="N20" s="4">
        <v>26</v>
      </c>
      <c r="O20" s="4"/>
    </row>
    <row r="21" spans="1:15" ht="15">
      <c r="A21" s="4" t="s">
        <v>145</v>
      </c>
      <c r="B21" s="5">
        <f t="shared" si="0"/>
        <v>32</v>
      </c>
      <c r="C21" s="4">
        <v>1</v>
      </c>
      <c r="D21" s="5"/>
      <c r="E21" s="4"/>
      <c r="F21" s="5">
        <v>5</v>
      </c>
      <c r="G21" s="5"/>
      <c r="H21" s="4"/>
      <c r="I21" s="5"/>
      <c r="J21" s="4"/>
      <c r="K21" s="4"/>
      <c r="L21" s="4">
        <v>8</v>
      </c>
      <c r="M21" s="4"/>
      <c r="N21" s="4">
        <v>18</v>
      </c>
      <c r="O21" s="4"/>
    </row>
    <row r="22" spans="1:15" ht="15">
      <c r="A22" s="4" t="s">
        <v>146</v>
      </c>
      <c r="B22" s="5">
        <f t="shared" si="0"/>
        <v>50</v>
      </c>
      <c r="C22" s="4"/>
      <c r="D22" s="5"/>
      <c r="E22" s="4"/>
      <c r="F22" s="5">
        <v>5</v>
      </c>
      <c r="G22" s="5"/>
      <c r="H22" s="4"/>
      <c r="I22" s="5"/>
      <c r="J22" s="4"/>
      <c r="K22" s="4"/>
      <c r="L22" s="4">
        <v>6</v>
      </c>
      <c r="M22" s="4"/>
      <c r="N22" s="4">
        <v>39</v>
      </c>
      <c r="O22" s="4"/>
    </row>
    <row r="23" spans="1:15" ht="15">
      <c r="A23" s="4" t="s">
        <v>147</v>
      </c>
      <c r="B23" s="5">
        <f t="shared" si="0"/>
        <v>18</v>
      </c>
      <c r="C23" s="4"/>
      <c r="D23" s="5"/>
      <c r="E23" s="4"/>
      <c r="F23" s="5">
        <v>1</v>
      </c>
      <c r="G23" s="5"/>
      <c r="H23" s="4"/>
      <c r="I23" s="5"/>
      <c r="J23" s="4"/>
      <c r="K23" s="4"/>
      <c r="L23" s="4">
        <v>4</v>
      </c>
      <c r="M23" s="4"/>
      <c r="N23" s="4">
        <v>13</v>
      </c>
      <c r="O23" s="4"/>
    </row>
    <row r="24" spans="1:15" ht="15">
      <c r="A24" s="4" t="s">
        <v>148</v>
      </c>
      <c r="B24" s="5">
        <f t="shared" si="0"/>
        <v>136</v>
      </c>
      <c r="C24" s="4"/>
      <c r="D24" s="5"/>
      <c r="E24" s="4"/>
      <c r="F24" s="5">
        <v>5</v>
      </c>
      <c r="G24" s="5"/>
      <c r="H24" s="4"/>
      <c r="I24" s="5"/>
      <c r="J24" s="4"/>
      <c r="K24" s="4"/>
      <c r="L24" s="4">
        <v>38</v>
      </c>
      <c r="M24" s="4">
        <v>7</v>
      </c>
      <c r="N24" s="4">
        <v>86</v>
      </c>
      <c r="O24" s="4"/>
    </row>
    <row r="25" spans="1:15" ht="15">
      <c r="A25" s="4" t="s">
        <v>149</v>
      </c>
      <c r="B25" s="5">
        <f t="shared" si="0"/>
        <v>41</v>
      </c>
      <c r="C25" s="4"/>
      <c r="D25" s="5"/>
      <c r="E25" s="4"/>
      <c r="F25" s="5">
        <v>6</v>
      </c>
      <c r="G25" s="5"/>
      <c r="H25" s="4"/>
      <c r="I25" s="5"/>
      <c r="J25" s="4"/>
      <c r="K25" s="4"/>
      <c r="L25" s="4">
        <v>13</v>
      </c>
      <c r="M25" s="4"/>
      <c r="N25" s="4">
        <v>22</v>
      </c>
      <c r="O25" s="4"/>
    </row>
    <row r="26" spans="1:15" ht="15">
      <c r="A26" s="4" t="s">
        <v>150</v>
      </c>
      <c r="B26" s="5">
        <f t="shared" si="0"/>
        <v>23</v>
      </c>
      <c r="C26" s="4">
        <v>1</v>
      </c>
      <c r="D26" s="5"/>
      <c r="E26" s="4"/>
      <c r="F26" s="5">
        <v>3</v>
      </c>
      <c r="G26" s="5"/>
      <c r="H26" s="4"/>
      <c r="I26" s="5"/>
      <c r="J26" s="4"/>
      <c r="K26" s="4"/>
      <c r="L26" s="4">
        <v>9</v>
      </c>
      <c r="M26" s="4"/>
      <c r="N26" s="4">
        <v>10</v>
      </c>
      <c r="O26" s="4"/>
    </row>
    <row r="27" spans="1:15" ht="15">
      <c r="A27" s="4" t="s">
        <v>151</v>
      </c>
      <c r="B27" s="5">
        <f t="shared" si="0"/>
        <v>53</v>
      </c>
      <c r="C27" s="4"/>
      <c r="D27" s="5"/>
      <c r="E27" s="4"/>
      <c r="F27" s="5">
        <v>5</v>
      </c>
      <c r="G27" s="5"/>
      <c r="H27" s="4"/>
      <c r="I27" s="5"/>
      <c r="J27" s="4"/>
      <c r="K27" s="4"/>
      <c r="L27" s="4">
        <v>11</v>
      </c>
      <c r="M27" s="4"/>
      <c r="N27" s="4">
        <v>37</v>
      </c>
      <c r="O27" s="4"/>
    </row>
    <row r="28" spans="1:15" ht="15">
      <c r="A28" s="4" t="s">
        <v>152</v>
      </c>
      <c r="B28" s="5">
        <f t="shared" si="0"/>
        <v>23</v>
      </c>
      <c r="C28" s="4"/>
      <c r="D28" s="5"/>
      <c r="E28" s="4"/>
      <c r="F28" s="5">
        <v>2</v>
      </c>
      <c r="G28" s="5"/>
      <c r="H28" s="4"/>
      <c r="I28" s="5"/>
      <c r="J28" s="4"/>
      <c r="K28" s="4"/>
      <c r="L28" s="4">
        <v>3</v>
      </c>
      <c r="M28" s="4"/>
      <c r="N28" s="4">
        <v>18</v>
      </c>
      <c r="O28" s="4"/>
    </row>
    <row r="29" spans="1:15" ht="15">
      <c r="A29" s="4" t="s">
        <v>153</v>
      </c>
      <c r="B29" s="5">
        <f t="shared" si="0"/>
        <v>68</v>
      </c>
      <c r="C29" s="4"/>
      <c r="D29" s="5"/>
      <c r="E29" s="4"/>
      <c r="F29" s="5">
        <v>5</v>
      </c>
      <c r="G29" s="5"/>
      <c r="H29" s="4"/>
      <c r="I29" s="5">
        <v>1</v>
      </c>
      <c r="J29" s="4"/>
      <c r="K29" s="4"/>
      <c r="L29" s="4">
        <v>20</v>
      </c>
      <c r="M29" s="4"/>
      <c r="N29" s="4">
        <v>42</v>
      </c>
      <c r="O29" s="4"/>
    </row>
    <row r="30" spans="1:15" ht="15">
      <c r="A30" s="4" t="s">
        <v>154</v>
      </c>
      <c r="B30" s="5">
        <f t="shared" si="0"/>
        <v>17</v>
      </c>
      <c r="C30" s="4"/>
      <c r="D30" s="5"/>
      <c r="E30" s="4"/>
      <c r="F30" s="5">
        <v>1</v>
      </c>
      <c r="G30" s="5"/>
      <c r="H30" s="4"/>
      <c r="I30" s="5">
        <v>1</v>
      </c>
      <c r="J30" s="4"/>
      <c r="K30" s="4"/>
      <c r="L30" s="4">
        <v>5</v>
      </c>
      <c r="M30" s="4"/>
      <c r="N30" s="4">
        <v>10</v>
      </c>
      <c r="O30" s="4"/>
    </row>
    <row r="31" spans="1:15" ht="15">
      <c r="A31" s="4" t="s">
        <v>155</v>
      </c>
      <c r="B31" s="5">
        <f t="shared" si="0"/>
        <v>146</v>
      </c>
      <c r="C31" s="4"/>
      <c r="D31" s="5"/>
      <c r="E31" s="4"/>
      <c r="F31" s="5">
        <v>1</v>
      </c>
      <c r="G31" s="5">
        <v>48</v>
      </c>
      <c r="H31" s="4"/>
      <c r="I31" s="5"/>
      <c r="J31" s="4"/>
      <c r="K31" s="4"/>
      <c r="L31" s="4">
        <v>30</v>
      </c>
      <c r="M31" s="4"/>
      <c r="N31" s="4">
        <v>67</v>
      </c>
      <c r="O31" s="4"/>
    </row>
    <row r="32" spans="1:15" ht="15">
      <c r="A32" s="4" t="s">
        <v>156</v>
      </c>
      <c r="B32" s="5">
        <f t="shared" si="0"/>
        <v>65</v>
      </c>
      <c r="C32" s="4"/>
      <c r="D32" s="5"/>
      <c r="E32" s="4"/>
      <c r="F32" s="5">
        <v>3</v>
      </c>
      <c r="G32" s="5"/>
      <c r="H32" s="4"/>
      <c r="I32" s="5">
        <v>1</v>
      </c>
      <c r="J32" s="4"/>
      <c r="K32" s="4"/>
      <c r="L32" s="20">
        <v>17</v>
      </c>
      <c r="M32" s="20"/>
      <c r="N32" s="20">
        <v>44</v>
      </c>
      <c r="O32" s="4"/>
    </row>
    <row r="33" spans="1:15" ht="15">
      <c r="A33" s="4" t="s">
        <v>157</v>
      </c>
      <c r="B33" s="5">
        <f t="shared" si="0"/>
        <v>142</v>
      </c>
      <c r="C33" s="4">
        <v>5</v>
      </c>
      <c r="D33" s="5">
        <v>5</v>
      </c>
      <c r="E33" s="4"/>
      <c r="F33" s="5">
        <v>10</v>
      </c>
      <c r="G33" s="5"/>
      <c r="H33" s="4">
        <v>1</v>
      </c>
      <c r="I33" s="5">
        <v>2</v>
      </c>
      <c r="J33" s="4"/>
      <c r="K33" s="4"/>
      <c r="L33" s="4">
        <v>30</v>
      </c>
      <c r="M33" s="4"/>
      <c r="N33" s="4">
        <v>87</v>
      </c>
      <c r="O33" s="4">
        <v>2</v>
      </c>
    </row>
    <row r="34" spans="1:15" ht="15">
      <c r="A34" s="4" t="s">
        <v>158</v>
      </c>
      <c r="B34" s="5">
        <f t="shared" si="0"/>
        <v>3</v>
      </c>
      <c r="C34" s="4"/>
      <c r="D34" s="5"/>
      <c r="E34" s="4"/>
      <c r="F34" s="5">
        <v>1</v>
      </c>
      <c r="G34" s="5"/>
      <c r="H34" s="4"/>
      <c r="I34" s="5"/>
      <c r="J34" s="4"/>
      <c r="K34" s="4"/>
      <c r="L34" s="4">
        <v>2</v>
      </c>
      <c r="M34" s="4"/>
      <c r="N34" s="4"/>
      <c r="O34" s="4"/>
    </row>
    <row r="35" spans="1:15" ht="15">
      <c r="A35" s="4" t="s">
        <v>159</v>
      </c>
      <c r="B35" s="5">
        <f t="shared" si="0"/>
        <v>54</v>
      </c>
      <c r="C35" s="4">
        <v>8</v>
      </c>
      <c r="D35" s="5"/>
      <c r="E35" s="4"/>
      <c r="F35" s="5">
        <v>7</v>
      </c>
      <c r="G35" s="5"/>
      <c r="H35" s="4"/>
      <c r="I35" s="5"/>
      <c r="J35" s="4"/>
      <c r="K35" s="4"/>
      <c r="L35" s="4">
        <v>10</v>
      </c>
      <c r="M35" s="4"/>
      <c r="N35" s="4">
        <v>29</v>
      </c>
      <c r="O35" s="4"/>
    </row>
    <row r="36" spans="1:15" ht="15">
      <c r="A36" s="4" t="s">
        <v>160</v>
      </c>
      <c r="B36" s="5">
        <f t="shared" si="0"/>
        <v>41</v>
      </c>
      <c r="C36" s="4"/>
      <c r="D36" s="21"/>
      <c r="E36" s="4"/>
      <c r="F36" s="22">
        <v>6</v>
      </c>
      <c r="G36" s="5"/>
      <c r="H36" s="4"/>
      <c r="I36" s="5"/>
      <c r="J36" s="4"/>
      <c r="K36" s="4"/>
      <c r="L36" s="4">
        <v>12</v>
      </c>
      <c r="M36" s="4"/>
      <c r="N36" s="4">
        <v>23</v>
      </c>
      <c r="O36" s="4"/>
    </row>
    <row r="37" spans="1:15" ht="15">
      <c r="A37" s="17" t="s">
        <v>161</v>
      </c>
      <c r="B37" s="24">
        <f t="shared" si="0"/>
        <v>230</v>
      </c>
      <c r="C37" s="25">
        <v>1</v>
      </c>
      <c r="D37" s="8"/>
      <c r="E37" s="19"/>
      <c r="F37" s="16">
        <v>5</v>
      </c>
      <c r="G37" s="4"/>
      <c r="H37" s="4"/>
      <c r="I37" s="4">
        <v>2</v>
      </c>
      <c r="J37" s="4"/>
      <c r="K37" s="4"/>
      <c r="L37" s="4">
        <v>50</v>
      </c>
      <c r="M37" s="4"/>
      <c r="N37" s="4">
        <v>170</v>
      </c>
      <c r="O37" s="4">
        <v>2</v>
      </c>
    </row>
    <row r="38" spans="1:15" ht="15">
      <c r="A38" s="26" t="s">
        <v>162</v>
      </c>
      <c r="B38" s="5">
        <f t="shared" si="0"/>
        <v>110</v>
      </c>
      <c r="C38" s="4"/>
      <c r="D38" s="22"/>
      <c r="E38" s="4"/>
      <c r="F38" s="27">
        <v>45</v>
      </c>
      <c r="G38" s="4"/>
      <c r="H38" s="4"/>
      <c r="I38" s="4">
        <v>2</v>
      </c>
      <c r="J38" s="4"/>
      <c r="K38" s="4"/>
      <c r="L38" s="4">
        <v>16</v>
      </c>
      <c r="M38" s="4"/>
      <c r="N38" s="4">
        <v>47</v>
      </c>
      <c r="O38" s="4"/>
    </row>
    <row r="39" spans="1:15" ht="15">
      <c r="A39" s="17" t="s">
        <v>163</v>
      </c>
      <c r="B39" s="18">
        <f t="shared" si="0"/>
        <v>29</v>
      </c>
      <c r="C39" s="19"/>
      <c r="D39" s="8"/>
      <c r="E39" s="19"/>
      <c r="F39" s="16">
        <v>5</v>
      </c>
      <c r="G39" s="4"/>
      <c r="H39" s="4"/>
      <c r="I39" s="4"/>
      <c r="J39" s="4"/>
      <c r="K39" s="4"/>
      <c r="L39" s="4">
        <v>4</v>
      </c>
      <c r="M39" s="4"/>
      <c r="N39" s="4">
        <v>20</v>
      </c>
      <c r="O39" s="4"/>
    </row>
    <row r="40" spans="1:15" ht="15">
      <c r="A40" s="6" t="s">
        <v>164</v>
      </c>
      <c r="B40" s="5">
        <f t="shared" si="0"/>
        <v>46</v>
      </c>
      <c r="C40" s="4">
        <v>1</v>
      </c>
      <c r="D40" s="5"/>
      <c r="E40" s="4"/>
      <c r="F40" s="11">
        <v>6</v>
      </c>
      <c r="G40" s="4"/>
      <c r="H40" s="4"/>
      <c r="I40" s="4"/>
      <c r="J40" s="4"/>
      <c r="K40" s="4"/>
      <c r="L40" s="4">
        <v>15</v>
      </c>
      <c r="M40" s="4"/>
      <c r="N40" s="4">
        <v>24</v>
      </c>
      <c r="O40" s="4"/>
    </row>
    <row r="41" spans="1:15" ht="15">
      <c r="A41" s="6" t="s">
        <v>165</v>
      </c>
      <c r="B41" s="5">
        <f t="shared" si="0"/>
        <v>24</v>
      </c>
      <c r="C41" s="4"/>
      <c r="D41" s="5"/>
      <c r="E41" s="4"/>
      <c r="F41" s="11">
        <v>1</v>
      </c>
      <c r="G41" s="4"/>
      <c r="H41" s="4"/>
      <c r="I41" s="4"/>
      <c r="J41" s="4"/>
      <c r="K41" s="4"/>
      <c r="L41" s="4">
        <v>6</v>
      </c>
      <c r="M41" s="4"/>
      <c r="N41" s="4">
        <v>17</v>
      </c>
      <c r="O41" s="4"/>
    </row>
    <row r="42" spans="1:15" ht="15">
      <c r="A42" s="6" t="s">
        <v>166</v>
      </c>
      <c r="B42" s="5">
        <f t="shared" si="0"/>
        <v>333</v>
      </c>
      <c r="C42" s="4">
        <v>18</v>
      </c>
      <c r="D42" s="5"/>
      <c r="E42" s="4"/>
      <c r="F42" s="11">
        <v>44</v>
      </c>
      <c r="G42" s="4"/>
      <c r="H42" s="4"/>
      <c r="I42" s="4">
        <v>1</v>
      </c>
      <c r="J42" s="4"/>
      <c r="K42" s="4"/>
      <c r="L42" s="4">
        <v>43</v>
      </c>
      <c r="M42" s="4"/>
      <c r="N42" s="4">
        <v>225</v>
      </c>
      <c r="O42" s="4">
        <v>2</v>
      </c>
    </row>
    <row r="43" spans="1:15" ht="15">
      <c r="A43" s="26" t="s">
        <v>167</v>
      </c>
      <c r="B43" s="5">
        <f t="shared" si="0"/>
        <v>2820</v>
      </c>
      <c r="C43" s="4">
        <f>SUM(64+77)</f>
        <v>141</v>
      </c>
      <c r="D43" s="22">
        <v>954</v>
      </c>
      <c r="E43" s="11">
        <v>20</v>
      </c>
      <c r="F43" s="27">
        <v>136</v>
      </c>
      <c r="G43" s="11">
        <v>48</v>
      </c>
      <c r="H43" s="11">
        <v>44</v>
      </c>
      <c r="I43" s="11">
        <v>25</v>
      </c>
      <c r="J43" s="11">
        <v>3</v>
      </c>
      <c r="K43" s="11">
        <v>232</v>
      </c>
      <c r="L43" s="11">
        <v>486</v>
      </c>
      <c r="M43" s="11">
        <v>26</v>
      </c>
      <c r="N43" s="11">
        <v>679</v>
      </c>
      <c r="O43" s="11">
        <f>SUM(1655-26-232-3-25-44-48-136-20-954-141)</f>
        <v>26</v>
      </c>
    </row>
    <row r="44" spans="1:15" ht="15">
      <c r="A44" s="20" t="s">
        <v>168</v>
      </c>
      <c r="B44" s="5">
        <f t="shared" si="0"/>
        <v>988</v>
      </c>
      <c r="C44" s="4">
        <v>1</v>
      </c>
      <c r="D44" s="22"/>
      <c r="E44" s="4">
        <v>7</v>
      </c>
      <c r="F44" s="23">
        <v>9</v>
      </c>
      <c r="G44" s="4">
        <v>5</v>
      </c>
      <c r="H44" s="4">
        <v>4</v>
      </c>
      <c r="I44" s="4">
        <v>5</v>
      </c>
      <c r="J44" s="4"/>
      <c r="K44" s="4"/>
      <c r="L44" s="4">
        <v>30</v>
      </c>
      <c r="M44" s="4"/>
      <c r="N44" s="4">
        <v>927</v>
      </c>
      <c r="O44" s="4"/>
    </row>
    <row r="45" spans="1:15" ht="15">
      <c r="A45" s="20" t="s">
        <v>169</v>
      </c>
      <c r="B45" s="5">
        <f t="shared" si="0"/>
        <v>11</v>
      </c>
      <c r="C45" s="4"/>
      <c r="D45" s="22"/>
      <c r="E45" s="4"/>
      <c r="F45" s="23">
        <v>1</v>
      </c>
      <c r="G45" s="4"/>
      <c r="H45" s="4"/>
      <c r="I45" s="4"/>
      <c r="J45" s="4"/>
      <c r="K45" s="4"/>
      <c r="L45" s="4">
        <v>3</v>
      </c>
      <c r="M45" s="4"/>
      <c r="N45" s="4">
        <v>7</v>
      </c>
      <c r="O45" s="4"/>
    </row>
    <row r="46" spans="1:15" ht="15">
      <c r="A46" s="20" t="s">
        <v>170</v>
      </c>
      <c r="B46" s="5">
        <f aca="true" t="shared" si="1" ref="B46:B52">SUM(C46:O46)</f>
        <v>12</v>
      </c>
      <c r="C46" s="4"/>
      <c r="D46" s="22"/>
      <c r="E46" s="4"/>
      <c r="F46" s="23">
        <v>2</v>
      </c>
      <c r="G46" s="4"/>
      <c r="H46" s="4"/>
      <c r="I46" s="4"/>
      <c r="J46" s="4"/>
      <c r="K46" s="4"/>
      <c r="L46" s="4">
        <v>2</v>
      </c>
      <c r="M46" s="4"/>
      <c r="N46" s="4">
        <v>8</v>
      </c>
      <c r="O46" s="4"/>
    </row>
    <row r="47" spans="1:15" ht="15">
      <c r="A47" s="20" t="s">
        <v>171</v>
      </c>
      <c r="B47" s="5">
        <f t="shared" si="1"/>
        <v>26</v>
      </c>
      <c r="C47" s="4"/>
      <c r="D47" s="22"/>
      <c r="E47" s="4"/>
      <c r="F47" s="23">
        <v>3</v>
      </c>
      <c r="G47" s="4"/>
      <c r="H47" s="4"/>
      <c r="I47" s="4"/>
      <c r="J47" s="4"/>
      <c r="K47" s="4"/>
      <c r="L47" s="4">
        <v>6</v>
      </c>
      <c r="M47" s="4"/>
      <c r="N47" s="4">
        <v>17</v>
      </c>
      <c r="O47" s="4"/>
    </row>
    <row r="48" spans="1:15" ht="15">
      <c r="A48" s="26" t="s">
        <v>172</v>
      </c>
      <c r="B48" s="5">
        <f t="shared" si="1"/>
        <v>51</v>
      </c>
      <c r="C48" s="4"/>
      <c r="D48" s="22"/>
      <c r="E48" s="4"/>
      <c r="F48" s="28">
        <v>8</v>
      </c>
      <c r="G48" s="4"/>
      <c r="H48" s="4"/>
      <c r="I48" s="4"/>
      <c r="J48" s="4"/>
      <c r="K48" s="4"/>
      <c r="L48" s="4">
        <v>14</v>
      </c>
      <c r="M48" s="4"/>
      <c r="N48" s="4">
        <v>29</v>
      </c>
      <c r="O48" s="4"/>
    </row>
    <row r="49" spans="1:15" ht="15">
      <c r="A49" s="6" t="s">
        <v>173</v>
      </c>
      <c r="B49" s="5">
        <f t="shared" si="1"/>
        <v>23</v>
      </c>
      <c r="C49" s="4"/>
      <c r="D49" s="5"/>
      <c r="E49" s="4"/>
      <c r="F49" s="6">
        <v>5</v>
      </c>
      <c r="G49" s="4"/>
      <c r="H49" s="4"/>
      <c r="I49" s="4"/>
      <c r="J49" s="4"/>
      <c r="K49" s="4"/>
      <c r="L49" s="4">
        <v>6</v>
      </c>
      <c r="M49" s="4"/>
      <c r="N49" s="4">
        <v>12</v>
      </c>
      <c r="O49" s="4"/>
    </row>
    <row r="50" spans="1:15" ht="15">
      <c r="A50" s="6" t="s">
        <v>174</v>
      </c>
      <c r="B50" s="5">
        <f t="shared" si="1"/>
        <v>64</v>
      </c>
      <c r="C50" s="4"/>
      <c r="D50" s="5"/>
      <c r="E50" s="4"/>
      <c r="F50" s="6">
        <v>3</v>
      </c>
      <c r="G50" s="4"/>
      <c r="H50" s="4"/>
      <c r="I50" s="4"/>
      <c r="J50" s="4"/>
      <c r="K50" s="4"/>
      <c r="L50" s="4">
        <v>21</v>
      </c>
      <c r="M50" s="4"/>
      <c r="N50" s="4">
        <v>40</v>
      </c>
      <c r="O50" s="4"/>
    </row>
    <row r="51" spans="1:15" ht="15">
      <c r="A51" s="26" t="s">
        <v>175</v>
      </c>
      <c r="B51" s="5">
        <f t="shared" si="1"/>
        <v>3430</v>
      </c>
      <c r="C51" s="4">
        <v>1291</v>
      </c>
      <c r="D51" s="22"/>
      <c r="E51" s="4">
        <v>8</v>
      </c>
      <c r="F51" s="27">
        <v>5</v>
      </c>
      <c r="G51" s="4">
        <v>6</v>
      </c>
      <c r="H51" s="11">
        <v>1</v>
      </c>
      <c r="I51" s="4">
        <v>1</v>
      </c>
      <c r="J51" s="11">
        <v>2</v>
      </c>
      <c r="K51" s="4"/>
      <c r="L51" s="4">
        <v>273</v>
      </c>
      <c r="M51" s="4">
        <v>27</v>
      </c>
      <c r="N51" s="4">
        <v>1812</v>
      </c>
      <c r="O51" s="4">
        <f>SUM(1345-27-2-1-1-6-5-8-1291)</f>
        <v>4</v>
      </c>
    </row>
    <row r="52" spans="1:15" ht="15">
      <c r="A52" s="17" t="s">
        <v>176</v>
      </c>
      <c r="B52" s="18">
        <f t="shared" si="1"/>
        <v>127</v>
      </c>
      <c r="C52" s="19"/>
      <c r="D52" s="8"/>
      <c r="E52" s="19"/>
      <c r="F52" s="7">
        <v>14</v>
      </c>
      <c r="G52" s="4"/>
      <c r="H52" s="4"/>
      <c r="I52" s="4">
        <v>1</v>
      </c>
      <c r="J52" s="4"/>
      <c r="K52" s="4"/>
      <c r="L52" s="4">
        <v>27</v>
      </c>
      <c r="M52" s="4"/>
      <c r="N52" s="4">
        <v>85</v>
      </c>
      <c r="O52" s="4"/>
    </row>
    <row r="53" spans="1:15" ht="15">
      <c r="A53" s="20"/>
      <c r="B53" s="5"/>
      <c r="C53" s="4"/>
      <c r="D53" s="22"/>
      <c r="E53" s="4"/>
      <c r="F53" s="23"/>
      <c r="G53" s="4"/>
      <c r="H53" s="4"/>
      <c r="I53" s="4"/>
      <c r="J53" s="4"/>
      <c r="K53" s="4"/>
      <c r="L53" s="4"/>
      <c r="M53" s="4"/>
      <c r="N53" s="4"/>
      <c r="O53" s="4"/>
    </row>
    <row r="54" spans="1:15" ht="15">
      <c r="A54" s="4" t="s">
        <v>9</v>
      </c>
      <c r="B54" s="5">
        <f>SUM(B9:B52)</f>
        <v>10114</v>
      </c>
      <c r="C54" s="4"/>
      <c r="D54" s="22"/>
      <c r="E54" s="4"/>
      <c r="F54" s="23"/>
      <c r="G54" s="4"/>
      <c r="H54" s="4"/>
      <c r="I54" s="4"/>
      <c r="J54" s="4"/>
      <c r="K54" s="4"/>
      <c r="L54" s="4"/>
      <c r="M54" s="4"/>
      <c r="N54" s="4"/>
      <c r="O54" s="4"/>
    </row>
    <row r="56" ht="15">
      <c r="B56" s="2" t="s">
        <v>312</v>
      </c>
    </row>
    <row r="58" ht="15">
      <c r="B58" s="2" t="s">
        <v>313</v>
      </c>
    </row>
  </sheetData>
  <sheetProtection/>
  <mergeCells count="5">
    <mergeCell ref="A6:O6"/>
    <mergeCell ref="A1:O1"/>
    <mergeCell ref="A2:O2"/>
    <mergeCell ref="A4:O4"/>
    <mergeCell ref="A5:O5"/>
  </mergeCells>
  <printOptions horizontalCentered="1"/>
  <pageMargins left="0.75" right="0.75" top="1" bottom="1" header="0.5" footer="0.5"/>
  <pageSetup horizontalDpi="600" verticalDpi="600" orientation="landscape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4"/>
  <sheetViews>
    <sheetView defaultGridColor="0" zoomScalePageLayoutView="0" colorId="8" workbookViewId="0" topLeftCell="A1">
      <selection activeCell="K10" sqref="K10:N10"/>
    </sheetView>
  </sheetViews>
  <sheetFormatPr defaultColWidth="8.88671875" defaultRowHeight="15"/>
  <cols>
    <col min="1" max="1" width="10.21484375" style="0" customWidth="1"/>
    <col min="2" max="2" width="7.77734375" style="0" customWidth="1"/>
    <col min="3" max="3" width="7.4453125" style="0" customWidth="1"/>
    <col min="4" max="4" width="7.6640625" style="0" customWidth="1"/>
    <col min="5" max="5" width="6.3359375" style="0" customWidth="1"/>
    <col min="6" max="6" width="5.3359375" style="0" customWidth="1"/>
    <col min="7" max="7" width="6.6640625" style="0" customWidth="1"/>
    <col min="8" max="8" width="6.99609375" style="0" customWidth="1"/>
    <col min="9" max="9" width="7.88671875" style="0" customWidth="1"/>
    <col min="10" max="11" width="7.21484375" style="0" customWidth="1"/>
    <col min="12" max="13" width="6.99609375" style="0" customWidth="1"/>
    <col min="14" max="14" width="6.21484375" style="0" customWidth="1"/>
  </cols>
  <sheetData>
    <row r="1" spans="1:14" ht="18.75" customHeight="1">
      <c r="A1" s="36" t="s">
        <v>188</v>
      </c>
      <c r="B1" s="36"/>
      <c r="C1" s="36"/>
      <c r="D1" s="36"/>
      <c r="E1" s="36"/>
      <c r="F1" s="36"/>
      <c r="G1" s="37"/>
      <c r="H1" s="37"/>
      <c r="I1" s="37"/>
      <c r="J1" s="37"/>
      <c r="K1" s="37"/>
      <c r="L1" s="37"/>
      <c r="M1" s="37"/>
      <c r="N1" s="37"/>
    </row>
    <row r="2" spans="1:14" ht="18.75" customHeight="1">
      <c r="A2" s="36" t="s">
        <v>311</v>
      </c>
      <c r="B2" s="36"/>
      <c r="C2" s="36"/>
      <c r="D2" s="36"/>
      <c r="E2" s="36"/>
      <c r="F2" s="36"/>
      <c r="G2" s="37"/>
      <c r="H2" s="37"/>
      <c r="I2" s="37"/>
      <c r="J2" s="37"/>
      <c r="K2" s="37"/>
      <c r="L2" s="37"/>
      <c r="M2" s="37"/>
      <c r="N2" s="37"/>
    </row>
    <row r="3" ht="18.75">
      <c r="A3" s="1"/>
    </row>
    <row r="4" spans="1:14" ht="15">
      <c r="A4" s="34" t="s">
        <v>329</v>
      </c>
      <c r="B4" s="35"/>
      <c r="C4" s="35"/>
      <c r="D4" s="35"/>
      <c r="E4" s="35"/>
      <c r="F4" s="35"/>
      <c r="G4" s="35"/>
      <c r="H4" s="35"/>
      <c r="I4" s="37"/>
      <c r="J4" s="37"/>
      <c r="K4" s="37"/>
      <c r="L4" s="37"/>
      <c r="M4" s="37"/>
      <c r="N4" s="37"/>
    </row>
    <row r="5" spans="1:14" ht="15">
      <c r="A5" s="34" t="s">
        <v>20</v>
      </c>
      <c r="B5" s="35"/>
      <c r="C5" s="35"/>
      <c r="D5" s="35"/>
      <c r="E5" s="35"/>
      <c r="F5" s="35"/>
      <c r="G5" s="35"/>
      <c r="H5" s="35"/>
      <c r="I5" s="37"/>
      <c r="J5" s="37"/>
      <c r="K5" s="37"/>
      <c r="L5" s="37"/>
      <c r="M5" s="37"/>
      <c r="N5" s="37"/>
    </row>
    <row r="6" spans="1:14" ht="15">
      <c r="A6" s="34" t="s">
        <v>19</v>
      </c>
      <c r="B6" s="35"/>
      <c r="C6" s="35"/>
      <c r="D6" s="35"/>
      <c r="E6" s="35"/>
      <c r="F6" s="35"/>
      <c r="G6" s="35"/>
      <c r="H6" s="35"/>
      <c r="I6" s="37"/>
      <c r="J6" s="37"/>
      <c r="K6" s="37"/>
      <c r="L6" s="37"/>
      <c r="M6" s="37"/>
      <c r="N6" s="37"/>
    </row>
    <row r="7" ht="15">
      <c r="B7" s="8"/>
    </row>
    <row r="8" spans="1:14" ht="22.5">
      <c r="A8" s="3" t="s">
        <v>10</v>
      </c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12</v>
      </c>
      <c r="K8" s="3" t="s">
        <v>310</v>
      </c>
      <c r="L8" s="9" t="s">
        <v>7</v>
      </c>
      <c r="M8" s="9" t="s">
        <v>305</v>
      </c>
      <c r="N8" s="3" t="s">
        <v>8</v>
      </c>
    </row>
    <row r="9" spans="1:14" ht="15">
      <c r="A9" s="4" t="s">
        <v>179</v>
      </c>
      <c r="B9" s="5">
        <f aca="true" t="shared" si="0" ref="B9:B18">SUM(C9:N9)</f>
        <v>328</v>
      </c>
      <c r="C9" s="4">
        <v>1</v>
      </c>
      <c r="D9" s="5"/>
      <c r="E9" s="4"/>
      <c r="F9" s="5"/>
      <c r="G9" s="5"/>
      <c r="H9" s="4"/>
      <c r="I9" s="5"/>
      <c r="J9" s="4"/>
      <c r="K9" s="4">
        <v>21</v>
      </c>
      <c r="L9" s="4"/>
      <c r="M9" s="4">
        <v>306</v>
      </c>
      <c r="N9" s="4"/>
    </row>
    <row r="10" spans="1:14" ht="15">
      <c r="A10" s="4" t="s">
        <v>180</v>
      </c>
      <c r="B10" s="5">
        <f t="shared" si="0"/>
        <v>1545</v>
      </c>
      <c r="C10" s="4">
        <v>32</v>
      </c>
      <c r="D10" s="5"/>
      <c r="E10" s="4"/>
      <c r="F10" s="5">
        <v>8</v>
      </c>
      <c r="G10" s="5">
        <v>53</v>
      </c>
      <c r="H10" s="4">
        <v>1</v>
      </c>
      <c r="I10" s="5">
        <v>6</v>
      </c>
      <c r="J10" s="4">
        <v>4</v>
      </c>
      <c r="K10" s="4">
        <v>383</v>
      </c>
      <c r="L10" s="4">
        <v>28</v>
      </c>
      <c r="M10" s="4">
        <v>1017</v>
      </c>
      <c r="N10" s="4">
        <f>SUM(145-28-4-6-1-53-8-32)</f>
        <v>13</v>
      </c>
    </row>
    <row r="11" spans="1:14" ht="15">
      <c r="A11" s="4" t="s">
        <v>181</v>
      </c>
      <c r="B11" s="5">
        <f t="shared" si="0"/>
        <v>105</v>
      </c>
      <c r="C11" s="4">
        <v>1</v>
      </c>
      <c r="D11" s="5"/>
      <c r="E11" s="4"/>
      <c r="F11" s="5">
        <v>1</v>
      </c>
      <c r="G11" s="5">
        <v>3</v>
      </c>
      <c r="H11" s="4"/>
      <c r="I11" s="5">
        <v>2</v>
      </c>
      <c r="J11" s="4"/>
      <c r="K11" s="4">
        <v>29</v>
      </c>
      <c r="L11" s="4"/>
      <c r="M11" s="4">
        <v>68</v>
      </c>
      <c r="N11" s="4">
        <v>1</v>
      </c>
    </row>
    <row r="12" spans="1:14" ht="15">
      <c r="A12" s="4" t="s">
        <v>182</v>
      </c>
      <c r="B12" s="5">
        <f t="shared" si="0"/>
        <v>143</v>
      </c>
      <c r="C12" s="4">
        <v>4</v>
      </c>
      <c r="D12" s="5"/>
      <c r="E12" s="4"/>
      <c r="F12" s="5">
        <v>1</v>
      </c>
      <c r="G12" s="5">
        <v>25</v>
      </c>
      <c r="H12" s="4"/>
      <c r="I12" s="5"/>
      <c r="J12" s="4">
        <v>4</v>
      </c>
      <c r="K12" s="4">
        <v>26</v>
      </c>
      <c r="L12" s="4"/>
      <c r="M12" s="4">
        <v>83</v>
      </c>
      <c r="N12" s="4"/>
    </row>
    <row r="13" spans="1:14" ht="15">
      <c r="A13" s="4" t="s">
        <v>87</v>
      </c>
      <c r="B13" s="5">
        <f t="shared" si="0"/>
        <v>2667</v>
      </c>
      <c r="C13" s="4">
        <v>189</v>
      </c>
      <c r="D13" s="5">
        <v>18</v>
      </c>
      <c r="E13" s="4">
        <v>1</v>
      </c>
      <c r="F13" s="5">
        <v>15</v>
      </c>
      <c r="G13" s="5"/>
      <c r="H13" s="4">
        <v>3</v>
      </c>
      <c r="I13" s="5">
        <v>19</v>
      </c>
      <c r="J13" s="4"/>
      <c r="K13" s="4">
        <v>490</v>
      </c>
      <c r="L13" s="4"/>
      <c r="M13" s="4">
        <v>1775</v>
      </c>
      <c r="N13" s="4">
        <f>SUM(402-19-3-15-1-18-189)</f>
        <v>157</v>
      </c>
    </row>
    <row r="14" spans="1:14" ht="15">
      <c r="A14" s="4" t="s">
        <v>183</v>
      </c>
      <c r="B14" s="5">
        <f t="shared" si="0"/>
        <v>2626</v>
      </c>
      <c r="C14" s="4">
        <f>SUM(294+68)</f>
        <v>362</v>
      </c>
      <c r="D14" s="5">
        <v>24</v>
      </c>
      <c r="E14" s="4"/>
      <c r="F14" s="5">
        <v>38</v>
      </c>
      <c r="G14" s="5"/>
      <c r="H14" s="4"/>
      <c r="I14" s="5">
        <v>79</v>
      </c>
      <c r="J14" s="4"/>
      <c r="K14" s="4">
        <v>400</v>
      </c>
      <c r="L14" s="4">
        <v>27</v>
      </c>
      <c r="M14" s="4">
        <v>1614</v>
      </c>
      <c r="N14" s="4">
        <f>SUM(612-27-79-38-24-362)</f>
        <v>82</v>
      </c>
    </row>
    <row r="15" spans="1:14" ht="15">
      <c r="A15" s="4" t="s">
        <v>184</v>
      </c>
      <c r="B15" s="5">
        <f t="shared" si="0"/>
        <v>74</v>
      </c>
      <c r="C15" s="4"/>
      <c r="D15" s="5"/>
      <c r="E15" s="4"/>
      <c r="F15" s="5">
        <v>5</v>
      </c>
      <c r="G15" s="5"/>
      <c r="H15" s="4"/>
      <c r="I15" s="5"/>
      <c r="J15" s="4"/>
      <c r="K15" s="4">
        <v>23</v>
      </c>
      <c r="L15" s="4"/>
      <c r="M15" s="4">
        <v>46</v>
      </c>
      <c r="N15" s="4"/>
    </row>
    <row r="16" spans="1:14" ht="15">
      <c r="A16" s="4" t="s">
        <v>185</v>
      </c>
      <c r="B16" s="5">
        <f t="shared" si="0"/>
        <v>216</v>
      </c>
      <c r="C16" s="4">
        <v>17</v>
      </c>
      <c r="D16" s="5"/>
      <c r="E16" s="4"/>
      <c r="F16" s="5">
        <v>1</v>
      </c>
      <c r="G16" s="5"/>
      <c r="H16" s="4"/>
      <c r="I16" s="5">
        <v>1</v>
      </c>
      <c r="J16" s="4"/>
      <c r="K16" s="4">
        <v>64</v>
      </c>
      <c r="L16" s="4"/>
      <c r="M16" s="4">
        <v>130</v>
      </c>
      <c r="N16" s="4">
        <v>3</v>
      </c>
    </row>
    <row r="17" spans="1:14" ht="15">
      <c r="A17" s="4" t="s">
        <v>186</v>
      </c>
      <c r="B17" s="5">
        <f t="shared" si="0"/>
        <v>542</v>
      </c>
      <c r="C17" s="4">
        <v>10</v>
      </c>
      <c r="D17" s="5">
        <v>19</v>
      </c>
      <c r="E17" s="4">
        <v>9</v>
      </c>
      <c r="F17" s="5">
        <v>8</v>
      </c>
      <c r="G17" s="5">
        <v>1</v>
      </c>
      <c r="H17" s="4"/>
      <c r="I17" s="5">
        <v>12</v>
      </c>
      <c r="J17" s="4"/>
      <c r="K17" s="4">
        <v>135</v>
      </c>
      <c r="L17" s="4">
        <v>26</v>
      </c>
      <c r="M17" s="4">
        <v>314</v>
      </c>
      <c r="N17" s="4">
        <f>SUM(93-26-12-1-8-9-19-10)</f>
        <v>8</v>
      </c>
    </row>
    <row r="18" spans="1:14" ht="15">
      <c r="A18" s="4" t="s">
        <v>187</v>
      </c>
      <c r="B18" s="5">
        <f t="shared" si="0"/>
        <v>223</v>
      </c>
      <c r="C18" s="4">
        <v>5</v>
      </c>
      <c r="D18" s="5"/>
      <c r="E18" s="4"/>
      <c r="F18" s="5">
        <v>13</v>
      </c>
      <c r="G18" s="5"/>
      <c r="H18" s="4"/>
      <c r="I18" s="5"/>
      <c r="J18" s="4"/>
      <c r="K18" s="4">
        <v>75</v>
      </c>
      <c r="L18" s="4"/>
      <c r="M18" s="4">
        <v>130</v>
      </c>
      <c r="N18" s="4"/>
    </row>
    <row r="19" spans="1:14" ht="15">
      <c r="A19" s="4"/>
      <c r="B19" s="5"/>
      <c r="C19" s="4"/>
      <c r="D19" s="5"/>
      <c r="E19" s="4"/>
      <c r="F19" s="5"/>
      <c r="G19" s="5"/>
      <c r="H19" s="4"/>
      <c r="I19" s="5"/>
      <c r="J19" s="4"/>
      <c r="K19" s="4"/>
      <c r="L19" s="4"/>
      <c r="M19" s="4"/>
      <c r="N19" s="4"/>
    </row>
    <row r="20" spans="1:14" ht="15">
      <c r="A20" s="4" t="s">
        <v>9</v>
      </c>
      <c r="B20" s="5">
        <f>SUM(B9:B18)</f>
        <v>8469</v>
      </c>
      <c r="C20" s="4"/>
      <c r="D20" s="5"/>
      <c r="E20" s="4"/>
      <c r="F20" s="5"/>
      <c r="G20" s="5"/>
      <c r="H20" s="4"/>
      <c r="I20" s="5"/>
      <c r="J20" s="4"/>
      <c r="K20" s="4"/>
      <c r="L20" s="4"/>
      <c r="M20" s="4"/>
      <c r="N20" s="4"/>
    </row>
    <row r="22" ht="15">
      <c r="B22" s="2" t="s">
        <v>312</v>
      </c>
    </row>
    <row r="24" ht="15">
      <c r="B24" s="2" t="s">
        <v>313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75" right="0.75" top="1" bottom="1" header="0.5" footer="0.5"/>
  <pageSetup horizontalDpi="600" verticalDpi="600" orientation="landscape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6"/>
  <sheetViews>
    <sheetView defaultGridColor="0" zoomScalePageLayoutView="0" colorId="8" workbookViewId="0" topLeftCell="A1">
      <selection activeCell="A5" sqref="A5:N5"/>
    </sheetView>
  </sheetViews>
  <sheetFormatPr defaultColWidth="8.88671875" defaultRowHeight="15"/>
  <cols>
    <col min="1" max="1" width="11.10546875" style="0" customWidth="1"/>
    <col min="2" max="2" width="9.21484375" style="0" customWidth="1"/>
    <col min="3" max="3" width="7.10546875" style="0" customWidth="1"/>
    <col min="4" max="4" width="6.3359375" style="0" customWidth="1"/>
    <col min="5" max="6" width="5.88671875" style="0" customWidth="1"/>
    <col min="7" max="7" width="6.6640625" style="0" customWidth="1"/>
    <col min="8" max="8" width="5.77734375" style="0" customWidth="1"/>
    <col min="10" max="11" width="6.88671875" style="0" customWidth="1"/>
    <col min="12" max="13" width="7.6640625" style="0" customWidth="1"/>
    <col min="14" max="14" width="7.21484375" style="0" customWidth="1"/>
  </cols>
  <sheetData>
    <row r="1" spans="1:14" ht="18.75" customHeight="1">
      <c r="A1" s="36" t="s">
        <v>201</v>
      </c>
      <c r="B1" s="36"/>
      <c r="C1" s="36"/>
      <c r="D1" s="36"/>
      <c r="E1" s="36"/>
      <c r="F1" s="37"/>
      <c r="G1" s="37"/>
      <c r="H1" s="37"/>
      <c r="I1" s="37"/>
      <c r="J1" s="37"/>
      <c r="K1" s="37"/>
      <c r="L1" s="37"/>
      <c r="M1" s="37"/>
      <c r="N1" s="37"/>
    </row>
    <row r="2" spans="1:14" ht="18.75" customHeight="1">
      <c r="A2" s="36" t="s">
        <v>311</v>
      </c>
      <c r="B2" s="36"/>
      <c r="C2" s="36"/>
      <c r="D2" s="36"/>
      <c r="E2" s="36"/>
      <c r="F2" s="37"/>
      <c r="G2" s="37"/>
      <c r="H2" s="37"/>
      <c r="I2" s="37"/>
      <c r="J2" s="37"/>
      <c r="K2" s="37"/>
      <c r="L2" s="37"/>
      <c r="M2" s="37"/>
      <c r="N2" s="37"/>
    </row>
    <row r="3" ht="18.75">
      <c r="A3" s="1"/>
    </row>
    <row r="4" spans="1:14" ht="15">
      <c r="A4" s="34" t="s">
        <v>330</v>
      </c>
      <c r="B4" s="35"/>
      <c r="C4" s="35"/>
      <c r="D4" s="35"/>
      <c r="E4" s="35"/>
      <c r="F4" s="35"/>
      <c r="G4" s="35"/>
      <c r="H4" s="37"/>
      <c r="I4" s="37"/>
      <c r="J4" s="37"/>
      <c r="K4" s="37"/>
      <c r="L4" s="37"/>
      <c r="M4" s="37"/>
      <c r="N4" s="37"/>
    </row>
    <row r="5" spans="1:14" ht="15">
      <c r="A5" s="34" t="s">
        <v>20</v>
      </c>
      <c r="B5" s="35"/>
      <c r="C5" s="35"/>
      <c r="D5" s="35"/>
      <c r="E5" s="35"/>
      <c r="F5" s="35"/>
      <c r="G5" s="35"/>
      <c r="H5" s="37"/>
      <c r="I5" s="37"/>
      <c r="J5" s="37"/>
      <c r="K5" s="37"/>
      <c r="L5" s="37"/>
      <c r="M5" s="37"/>
      <c r="N5" s="37"/>
    </row>
    <row r="6" spans="1:14" ht="15">
      <c r="A6" s="34" t="s">
        <v>19</v>
      </c>
      <c r="B6" s="35"/>
      <c r="C6" s="35"/>
      <c r="D6" s="35"/>
      <c r="E6" s="35"/>
      <c r="F6" s="35"/>
      <c r="G6" s="35"/>
      <c r="H6" s="37"/>
      <c r="I6" s="37"/>
      <c r="J6" s="37"/>
      <c r="K6" s="37"/>
      <c r="L6" s="37"/>
      <c r="M6" s="37"/>
      <c r="N6" s="37"/>
    </row>
    <row r="7" ht="15">
      <c r="B7" s="8"/>
    </row>
    <row r="8" spans="1:14" ht="22.5">
      <c r="A8" s="3" t="s">
        <v>10</v>
      </c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310</v>
      </c>
      <c r="L8" s="9" t="s">
        <v>7</v>
      </c>
      <c r="M8" s="9" t="s">
        <v>305</v>
      </c>
      <c r="N8" s="3" t="s">
        <v>8</v>
      </c>
    </row>
    <row r="9" spans="1:14" ht="15">
      <c r="A9" s="4" t="s">
        <v>189</v>
      </c>
      <c r="B9" s="5">
        <f aca="true" t="shared" si="0" ref="B9:B20">SUM(C9:N9)</f>
        <v>306</v>
      </c>
      <c r="C9" s="33">
        <v>5</v>
      </c>
      <c r="D9" s="32"/>
      <c r="E9" s="33"/>
      <c r="F9" s="32">
        <v>3</v>
      </c>
      <c r="G9" s="32"/>
      <c r="H9" s="33"/>
      <c r="I9" s="32">
        <v>2</v>
      </c>
      <c r="J9" s="33"/>
      <c r="K9" s="33">
        <v>34</v>
      </c>
      <c r="L9" s="33"/>
      <c r="M9" s="33">
        <v>262</v>
      </c>
      <c r="N9" s="33"/>
    </row>
    <row r="10" spans="1:14" ht="15">
      <c r="A10" s="4" t="s">
        <v>190</v>
      </c>
      <c r="B10" s="5">
        <f t="shared" si="0"/>
        <v>328</v>
      </c>
      <c r="C10" s="33">
        <v>266</v>
      </c>
      <c r="D10" s="32"/>
      <c r="E10" s="33"/>
      <c r="F10" s="32">
        <v>3</v>
      </c>
      <c r="G10" s="32"/>
      <c r="H10" s="33"/>
      <c r="I10" s="32"/>
      <c r="J10" s="33"/>
      <c r="K10" s="33">
        <v>13</v>
      </c>
      <c r="L10" s="33"/>
      <c r="M10" s="33">
        <v>46</v>
      </c>
      <c r="N10" s="33"/>
    </row>
    <row r="11" spans="1:14" ht="15">
      <c r="A11" s="4" t="s">
        <v>191</v>
      </c>
      <c r="B11" s="5">
        <f t="shared" si="0"/>
        <v>4140</v>
      </c>
      <c r="C11" s="33">
        <f>SUM(30+1894)</f>
        <v>1924</v>
      </c>
      <c r="D11" s="32">
        <v>149</v>
      </c>
      <c r="E11" s="33">
        <v>46</v>
      </c>
      <c r="F11" s="32">
        <v>67</v>
      </c>
      <c r="G11" s="32">
        <v>25</v>
      </c>
      <c r="H11" s="33">
        <v>37</v>
      </c>
      <c r="I11" s="32">
        <v>40</v>
      </c>
      <c r="J11" s="33">
        <v>8</v>
      </c>
      <c r="K11" s="33">
        <v>315</v>
      </c>
      <c r="L11" s="33">
        <v>80</v>
      </c>
      <c r="M11" s="33">
        <v>1315</v>
      </c>
      <c r="N11" s="33">
        <f>SUM(2510-80-8-40-37-25-67-46-149-1924)</f>
        <v>134</v>
      </c>
    </row>
    <row r="12" spans="1:14" ht="15" customHeight="1">
      <c r="A12" s="4" t="s">
        <v>193</v>
      </c>
      <c r="B12" s="5">
        <f t="shared" si="0"/>
        <v>156</v>
      </c>
      <c r="C12" s="33">
        <v>1</v>
      </c>
      <c r="D12" s="32"/>
      <c r="E12" s="33"/>
      <c r="F12" s="32">
        <v>4</v>
      </c>
      <c r="G12" s="32"/>
      <c r="H12" s="33"/>
      <c r="I12" s="32">
        <v>1</v>
      </c>
      <c r="J12" s="33"/>
      <c r="K12" s="33">
        <v>33</v>
      </c>
      <c r="L12" s="33"/>
      <c r="M12" s="33">
        <v>117</v>
      </c>
      <c r="N12" s="33"/>
    </row>
    <row r="13" spans="1:14" ht="15">
      <c r="A13" s="4" t="s">
        <v>273</v>
      </c>
      <c r="B13" s="5">
        <f t="shared" si="0"/>
        <v>241</v>
      </c>
      <c r="C13" s="33">
        <v>140</v>
      </c>
      <c r="D13" s="32"/>
      <c r="E13" s="33"/>
      <c r="F13" s="32">
        <v>4</v>
      </c>
      <c r="G13" s="32"/>
      <c r="H13" s="33"/>
      <c r="I13" s="32"/>
      <c r="J13" s="33"/>
      <c r="K13" s="33">
        <v>13</v>
      </c>
      <c r="L13" s="33"/>
      <c r="M13" s="33">
        <v>84</v>
      </c>
      <c r="N13" s="33"/>
    </row>
    <row r="14" spans="1:14" ht="15">
      <c r="A14" s="4" t="s">
        <v>195</v>
      </c>
      <c r="B14" s="5">
        <f t="shared" si="0"/>
        <v>93</v>
      </c>
      <c r="C14" s="33">
        <v>2</v>
      </c>
      <c r="D14" s="32"/>
      <c r="E14" s="33"/>
      <c r="F14" s="32">
        <v>4</v>
      </c>
      <c r="G14" s="32"/>
      <c r="H14" s="33"/>
      <c r="I14" s="32"/>
      <c r="J14" s="33"/>
      <c r="K14" s="33">
        <v>15</v>
      </c>
      <c r="L14" s="33"/>
      <c r="M14" s="33">
        <v>72</v>
      </c>
      <c r="N14" s="33"/>
    </row>
    <row r="15" spans="1:14" ht="15">
      <c r="A15" s="4" t="s">
        <v>196</v>
      </c>
      <c r="B15" s="5">
        <f t="shared" si="0"/>
        <v>5107</v>
      </c>
      <c r="C15" s="33">
        <f>SUM(15+1549)</f>
        <v>1564</v>
      </c>
      <c r="D15" s="32">
        <v>75</v>
      </c>
      <c r="E15" s="33">
        <v>43</v>
      </c>
      <c r="F15" s="32">
        <v>339</v>
      </c>
      <c r="G15" s="32">
        <v>54</v>
      </c>
      <c r="H15" s="33">
        <v>27</v>
      </c>
      <c r="I15" s="32">
        <v>18</v>
      </c>
      <c r="J15" s="33">
        <v>5</v>
      </c>
      <c r="K15" s="33">
        <v>718</v>
      </c>
      <c r="L15" s="33">
        <v>85</v>
      </c>
      <c r="M15" s="33">
        <v>1834</v>
      </c>
      <c r="N15" s="33">
        <f>SUM(2555-85-5-18-27-54-339-43-75-1564)</f>
        <v>345</v>
      </c>
    </row>
    <row r="16" spans="1:14" ht="15">
      <c r="A16" s="4" t="s">
        <v>197</v>
      </c>
      <c r="B16" s="5">
        <f t="shared" si="0"/>
        <v>329</v>
      </c>
      <c r="C16" s="33"/>
      <c r="D16" s="32"/>
      <c r="E16" s="33"/>
      <c r="F16" s="32">
        <v>15</v>
      </c>
      <c r="G16" s="32"/>
      <c r="H16" s="33"/>
      <c r="I16" s="32">
        <v>1</v>
      </c>
      <c r="J16" s="33"/>
      <c r="K16" s="33">
        <v>53</v>
      </c>
      <c r="L16" s="33">
        <v>13</v>
      </c>
      <c r="M16" s="33">
        <v>245</v>
      </c>
      <c r="N16" s="33">
        <v>2</v>
      </c>
    </row>
    <row r="17" spans="1:14" ht="15">
      <c r="A17" s="4" t="s">
        <v>276</v>
      </c>
      <c r="B17" s="5">
        <f t="shared" si="0"/>
        <v>99</v>
      </c>
      <c r="C17" s="33"/>
      <c r="D17" s="32"/>
      <c r="E17" s="33"/>
      <c r="F17" s="32">
        <v>3</v>
      </c>
      <c r="G17" s="32"/>
      <c r="H17" s="33"/>
      <c r="I17" s="32"/>
      <c r="J17" s="33"/>
      <c r="K17" s="33">
        <v>29</v>
      </c>
      <c r="L17" s="33"/>
      <c r="M17" s="33">
        <v>67</v>
      </c>
      <c r="N17" s="33"/>
    </row>
    <row r="18" spans="1:14" ht="15">
      <c r="A18" s="4" t="s">
        <v>277</v>
      </c>
      <c r="B18" s="5">
        <f t="shared" si="0"/>
        <v>366</v>
      </c>
      <c r="C18" s="33"/>
      <c r="D18" s="32"/>
      <c r="E18" s="33"/>
      <c r="F18" s="32">
        <v>2</v>
      </c>
      <c r="G18" s="32"/>
      <c r="H18" s="33"/>
      <c r="I18" s="32"/>
      <c r="J18" s="33"/>
      <c r="K18" s="33">
        <v>12</v>
      </c>
      <c r="L18" s="33"/>
      <c r="M18" s="33">
        <v>82</v>
      </c>
      <c r="N18" s="33">
        <v>270</v>
      </c>
    </row>
    <row r="19" spans="1:14" ht="15">
      <c r="A19" s="4" t="s">
        <v>199</v>
      </c>
      <c r="B19" s="5">
        <f t="shared" si="0"/>
        <v>98</v>
      </c>
      <c r="C19" s="33">
        <v>1</v>
      </c>
      <c r="D19" s="32"/>
      <c r="E19" s="33"/>
      <c r="F19" s="32">
        <v>1</v>
      </c>
      <c r="G19" s="32">
        <v>27</v>
      </c>
      <c r="H19" s="33"/>
      <c r="I19" s="32"/>
      <c r="J19" s="33"/>
      <c r="K19" s="33">
        <v>18</v>
      </c>
      <c r="L19" s="33"/>
      <c r="M19" s="33">
        <v>51</v>
      </c>
      <c r="N19" s="33"/>
    </row>
    <row r="20" spans="1:14" ht="15">
      <c r="A20" s="4" t="s">
        <v>200</v>
      </c>
      <c r="B20" s="5">
        <f t="shared" si="0"/>
        <v>579</v>
      </c>
      <c r="C20" s="33">
        <v>14</v>
      </c>
      <c r="D20" s="32"/>
      <c r="E20" s="33"/>
      <c r="F20" s="32">
        <v>4</v>
      </c>
      <c r="G20" s="32"/>
      <c r="H20" s="33"/>
      <c r="I20" s="32"/>
      <c r="J20" s="33"/>
      <c r="K20" s="33">
        <v>82</v>
      </c>
      <c r="L20" s="33"/>
      <c r="M20" s="33">
        <v>479</v>
      </c>
      <c r="N20" s="33"/>
    </row>
    <row r="21" spans="1:14" ht="15">
      <c r="A21" s="4"/>
      <c r="B21" s="5"/>
      <c r="C21" s="33"/>
      <c r="D21" s="32"/>
      <c r="E21" s="33"/>
      <c r="F21" s="32"/>
      <c r="G21" s="32"/>
      <c r="H21" s="33"/>
      <c r="I21" s="32"/>
      <c r="J21" s="33"/>
      <c r="K21" s="33"/>
      <c r="L21" s="33"/>
      <c r="M21" s="33"/>
      <c r="N21" s="33"/>
    </row>
    <row r="22" spans="1:14" ht="15">
      <c r="A22" s="4" t="s">
        <v>9</v>
      </c>
      <c r="B22" s="5">
        <f>SUM(B9:B20)</f>
        <v>11842</v>
      </c>
      <c r="C22" s="33"/>
      <c r="D22" s="32"/>
      <c r="E22" s="33"/>
      <c r="F22" s="32"/>
      <c r="G22" s="32"/>
      <c r="H22" s="33"/>
      <c r="I22" s="32"/>
      <c r="J22" s="33"/>
      <c r="K22" s="33"/>
      <c r="L22" s="33"/>
      <c r="M22" s="33"/>
      <c r="N22" s="33"/>
    </row>
    <row r="24" ht="15">
      <c r="B24" s="2" t="s">
        <v>312</v>
      </c>
    </row>
    <row r="26" ht="15">
      <c r="B26" s="2" t="s">
        <v>313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75" right="0.75" top="1" bottom="1" header="0.5" footer="0.5"/>
  <pageSetup horizontalDpi="600" verticalDpi="600" orientation="landscape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5"/>
  <sheetViews>
    <sheetView defaultGridColor="0" zoomScalePageLayoutView="0" colorId="8" workbookViewId="0" topLeftCell="A1">
      <selection activeCell="C9" sqref="C9:P9"/>
    </sheetView>
  </sheetViews>
  <sheetFormatPr defaultColWidth="8.88671875" defaultRowHeight="15"/>
  <cols>
    <col min="1" max="1" width="7.77734375" style="0" customWidth="1"/>
    <col min="2" max="2" width="7.5546875" style="0" customWidth="1"/>
    <col min="3" max="3" width="6.99609375" style="0" customWidth="1"/>
    <col min="4" max="4" width="7.5546875" style="0" customWidth="1"/>
    <col min="5" max="5" width="5.88671875" style="0" customWidth="1"/>
    <col min="6" max="6" width="4.77734375" style="0" customWidth="1"/>
    <col min="7" max="7" width="6.6640625" style="0" customWidth="1"/>
    <col min="8" max="8" width="6.3359375" style="0" customWidth="1"/>
    <col min="9" max="9" width="7.6640625" style="0" customWidth="1"/>
    <col min="10" max="10" width="6.21484375" style="0" customWidth="1"/>
    <col min="11" max="11" width="5.5546875" style="0" customWidth="1"/>
    <col min="12" max="12" width="4.5546875" style="0" customWidth="1"/>
    <col min="13" max="13" width="6.3359375" style="0" customWidth="1"/>
    <col min="14" max="14" width="7.10546875" style="0" customWidth="1"/>
    <col min="15" max="15" width="7.5546875" style="0" customWidth="1"/>
    <col min="16" max="16" width="5.5546875" style="0" customWidth="1"/>
  </cols>
  <sheetData>
    <row r="1" spans="1:16" ht="18.75" customHeight="1">
      <c r="A1" s="36" t="s">
        <v>203</v>
      </c>
      <c r="B1" s="36"/>
      <c r="C1" s="36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8.75" customHeight="1">
      <c r="A2" s="36" t="s">
        <v>311</v>
      </c>
      <c r="B2" s="36"/>
      <c r="C2" s="36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ht="18.75">
      <c r="A3" s="1"/>
    </row>
    <row r="4" spans="1:16" ht="15">
      <c r="A4" s="34" t="s">
        <v>331</v>
      </c>
      <c r="B4" s="35"/>
      <c r="C4" s="35"/>
      <c r="D4" s="35"/>
      <c r="E4" s="35"/>
      <c r="F4" s="35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">
      <c r="A5" s="34" t="s">
        <v>20</v>
      </c>
      <c r="B5" s="35"/>
      <c r="C5" s="35"/>
      <c r="D5" s="35"/>
      <c r="E5" s="35"/>
      <c r="F5" s="35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">
      <c r="A6" s="34" t="s">
        <v>19</v>
      </c>
      <c r="B6" s="35"/>
      <c r="C6" s="35"/>
      <c r="D6" s="35"/>
      <c r="E6" s="35"/>
      <c r="F6" s="35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ht="15">
      <c r="B7" s="8"/>
    </row>
    <row r="8" spans="1:16" ht="22.5">
      <c r="A8" s="3" t="s">
        <v>10</v>
      </c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13</v>
      </c>
      <c r="L8" s="3" t="s">
        <v>14</v>
      </c>
      <c r="M8" s="3" t="s">
        <v>310</v>
      </c>
      <c r="N8" s="9" t="s">
        <v>7</v>
      </c>
      <c r="O8" s="9" t="s">
        <v>305</v>
      </c>
      <c r="P8" s="3" t="s">
        <v>8</v>
      </c>
    </row>
    <row r="9" spans="1:16" ht="15">
      <c r="A9" s="4" t="s">
        <v>202</v>
      </c>
      <c r="B9" s="5">
        <f>SUM(C9:P9)</f>
        <v>17369</v>
      </c>
      <c r="C9" s="4">
        <f>SUM(3879+3338)</f>
        <v>7217</v>
      </c>
      <c r="D9" s="5">
        <v>711</v>
      </c>
      <c r="E9" s="4">
        <v>77</v>
      </c>
      <c r="F9" s="5">
        <v>22</v>
      </c>
      <c r="G9" s="5">
        <v>52</v>
      </c>
      <c r="H9" s="4">
        <v>95</v>
      </c>
      <c r="I9" s="5">
        <v>21</v>
      </c>
      <c r="J9" s="4">
        <v>19</v>
      </c>
      <c r="K9" s="4">
        <v>1</v>
      </c>
      <c r="L9" s="4">
        <v>8</v>
      </c>
      <c r="M9" s="4">
        <v>977</v>
      </c>
      <c r="N9" s="4">
        <v>97</v>
      </c>
      <c r="O9" s="4">
        <v>6814</v>
      </c>
      <c r="P9" s="4">
        <f>SUM(9578-97-8-1-19-21-95-52-22-77-711-7217)</f>
        <v>1258</v>
      </c>
    </row>
    <row r="10" spans="1:16" ht="15">
      <c r="A10" s="4"/>
      <c r="B10" s="5"/>
      <c r="C10" s="4"/>
      <c r="D10" s="5"/>
      <c r="E10" s="4"/>
      <c r="F10" s="5"/>
      <c r="G10" s="5"/>
      <c r="H10" s="4"/>
      <c r="I10" s="5"/>
      <c r="J10" s="4"/>
      <c r="K10" s="4"/>
      <c r="L10" s="4"/>
      <c r="M10" s="4"/>
      <c r="N10" s="4"/>
      <c r="O10" s="4"/>
      <c r="P10" s="4"/>
    </row>
    <row r="11" spans="1:16" ht="15">
      <c r="A11" s="4" t="s">
        <v>9</v>
      </c>
      <c r="B11" s="5">
        <f>SUM(B9:B10)</f>
        <v>17369</v>
      </c>
      <c r="C11" s="4"/>
      <c r="D11" s="5"/>
      <c r="E11" s="4"/>
      <c r="F11" s="5"/>
      <c r="G11" s="5"/>
      <c r="H11" s="4"/>
      <c r="I11" s="5"/>
      <c r="J11" s="4"/>
      <c r="K11" s="4"/>
      <c r="L11" s="4"/>
      <c r="M11" s="4"/>
      <c r="N11" s="4"/>
      <c r="O11" s="4"/>
      <c r="P11" s="4"/>
    </row>
    <row r="12" spans="1:8" ht="15">
      <c r="A12" s="12"/>
      <c r="B12" s="13"/>
      <c r="C12" s="12"/>
      <c r="D12" s="12"/>
      <c r="E12" s="12"/>
      <c r="F12" s="12"/>
      <c r="G12" s="12"/>
      <c r="H12" s="12"/>
    </row>
    <row r="13" ht="15">
      <c r="B13" s="2" t="s">
        <v>312</v>
      </c>
    </row>
    <row r="15" ht="15">
      <c r="B15" s="2" t="s">
        <v>313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6"/>
  <sheetViews>
    <sheetView defaultGridColor="0" zoomScalePageLayoutView="0" colorId="8" workbookViewId="0" topLeftCell="A1">
      <selection activeCell="A5" sqref="A5:N5"/>
    </sheetView>
  </sheetViews>
  <sheetFormatPr defaultColWidth="8.88671875" defaultRowHeight="15"/>
  <cols>
    <col min="1" max="1" width="10.21484375" style="0" customWidth="1"/>
    <col min="2" max="2" width="7.77734375" style="0" customWidth="1"/>
    <col min="3" max="3" width="7.21484375" style="0" customWidth="1"/>
    <col min="4" max="4" width="6.4453125" style="0" customWidth="1"/>
    <col min="5" max="6" width="5.4453125" style="0" customWidth="1"/>
    <col min="7" max="7" width="6.99609375" style="0" customWidth="1"/>
    <col min="8" max="8" width="6.21484375" style="0" customWidth="1"/>
    <col min="10" max="10" width="5.5546875" style="0" customWidth="1"/>
    <col min="11" max="11" width="6.6640625" style="0" customWidth="1"/>
    <col min="12" max="12" width="8.21484375" style="0" customWidth="1"/>
    <col min="13" max="13" width="6.21484375" style="0" customWidth="1"/>
    <col min="14" max="14" width="5.5546875" style="0" customWidth="1"/>
  </cols>
  <sheetData>
    <row r="1" spans="1:14" ht="18.75" customHeight="1">
      <c r="A1" s="36" t="s">
        <v>213</v>
      </c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8.75" customHeight="1">
      <c r="A2" s="36" t="s">
        <v>311</v>
      </c>
      <c r="B2" s="36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ht="18.75">
      <c r="A3" s="1"/>
    </row>
    <row r="4" spans="1:14" ht="15">
      <c r="A4" s="34" t="s">
        <v>332</v>
      </c>
      <c r="B4" s="35"/>
      <c r="C4" s="35"/>
      <c r="D4" s="35"/>
      <c r="E4" s="35"/>
      <c r="F4" s="37"/>
      <c r="G4" s="37"/>
      <c r="H4" s="37"/>
      <c r="I4" s="37"/>
      <c r="J4" s="37"/>
      <c r="K4" s="37"/>
      <c r="L4" s="37"/>
      <c r="M4" s="37"/>
      <c r="N4" s="37"/>
    </row>
    <row r="5" spans="1:14" ht="15">
      <c r="A5" s="34" t="s">
        <v>20</v>
      </c>
      <c r="B5" s="35"/>
      <c r="C5" s="35"/>
      <c r="D5" s="35"/>
      <c r="E5" s="35"/>
      <c r="F5" s="37"/>
      <c r="G5" s="37"/>
      <c r="H5" s="37"/>
      <c r="I5" s="37"/>
      <c r="J5" s="37"/>
      <c r="K5" s="37"/>
      <c r="L5" s="37"/>
      <c r="M5" s="37"/>
      <c r="N5" s="37"/>
    </row>
    <row r="6" spans="1:14" ht="15">
      <c r="A6" s="34" t="s">
        <v>19</v>
      </c>
      <c r="B6" s="35"/>
      <c r="C6" s="35"/>
      <c r="D6" s="35"/>
      <c r="E6" s="35"/>
      <c r="F6" s="37"/>
      <c r="G6" s="37"/>
      <c r="H6" s="37"/>
      <c r="I6" s="37"/>
      <c r="J6" s="37"/>
      <c r="K6" s="37"/>
      <c r="L6" s="37"/>
      <c r="M6" s="37"/>
      <c r="N6" s="37"/>
    </row>
    <row r="7" ht="15">
      <c r="B7" s="8"/>
    </row>
    <row r="8" spans="1:14" ht="22.5">
      <c r="A8" s="3" t="s">
        <v>10</v>
      </c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310</v>
      </c>
      <c r="L8" s="9" t="s">
        <v>7</v>
      </c>
      <c r="M8" s="9" t="s">
        <v>305</v>
      </c>
      <c r="N8" s="3" t="s">
        <v>8</v>
      </c>
    </row>
    <row r="9" spans="1:14" ht="15">
      <c r="A9" s="4" t="s">
        <v>204</v>
      </c>
      <c r="B9" s="5">
        <f aca="true" t="shared" si="0" ref="B9:B20">SUM(C9:N9)</f>
        <v>259</v>
      </c>
      <c r="C9" s="4">
        <v>29</v>
      </c>
      <c r="D9" s="5"/>
      <c r="E9" s="4"/>
      <c r="F9" s="5">
        <v>6</v>
      </c>
      <c r="G9" s="5"/>
      <c r="H9" s="4"/>
      <c r="I9" s="5"/>
      <c r="J9" s="4"/>
      <c r="K9" s="4">
        <v>44</v>
      </c>
      <c r="L9" s="4"/>
      <c r="M9" s="4">
        <v>179</v>
      </c>
      <c r="N9" s="4">
        <v>1</v>
      </c>
    </row>
    <row r="10" spans="1:14" ht="15">
      <c r="A10" s="4" t="s">
        <v>205</v>
      </c>
      <c r="B10" s="5">
        <f t="shared" si="0"/>
        <v>1767</v>
      </c>
      <c r="C10" s="4">
        <v>54</v>
      </c>
      <c r="D10" s="5">
        <v>23</v>
      </c>
      <c r="E10" s="4">
        <v>8</v>
      </c>
      <c r="F10" s="5">
        <v>294</v>
      </c>
      <c r="G10" s="5">
        <v>2</v>
      </c>
      <c r="H10" s="4">
        <v>1</v>
      </c>
      <c r="I10" s="5">
        <v>8</v>
      </c>
      <c r="J10" s="4"/>
      <c r="K10" s="4">
        <v>293</v>
      </c>
      <c r="L10" s="4">
        <v>25</v>
      </c>
      <c r="M10" s="4">
        <v>858</v>
      </c>
      <c r="N10" s="4">
        <f>SUM(616-25-8-1-2-294-8-23-54)</f>
        <v>201</v>
      </c>
    </row>
    <row r="11" spans="1:14" ht="15">
      <c r="A11" s="4" t="s">
        <v>91</v>
      </c>
      <c r="B11" s="5">
        <f t="shared" si="0"/>
        <v>171</v>
      </c>
      <c r="C11" s="4">
        <v>11</v>
      </c>
      <c r="D11" s="5"/>
      <c r="E11" s="4"/>
      <c r="F11" s="5">
        <v>4</v>
      </c>
      <c r="G11" s="5"/>
      <c r="H11" s="4"/>
      <c r="I11" s="5"/>
      <c r="J11" s="4"/>
      <c r="K11" s="4">
        <v>34</v>
      </c>
      <c r="L11" s="4"/>
      <c r="M11" s="4">
        <v>122</v>
      </c>
      <c r="N11" s="4"/>
    </row>
    <row r="12" spans="1:14" ht="15">
      <c r="A12" s="4" t="s">
        <v>206</v>
      </c>
      <c r="B12" s="5">
        <f t="shared" si="0"/>
        <v>153</v>
      </c>
      <c r="C12" s="4">
        <v>2</v>
      </c>
      <c r="D12" s="5"/>
      <c r="E12" s="4"/>
      <c r="F12" s="5">
        <v>1</v>
      </c>
      <c r="G12" s="5"/>
      <c r="H12" s="4"/>
      <c r="I12" s="5"/>
      <c r="J12" s="4"/>
      <c r="K12" s="4">
        <v>44</v>
      </c>
      <c r="L12" s="4"/>
      <c r="M12" s="4">
        <v>103</v>
      </c>
      <c r="N12" s="4">
        <v>3</v>
      </c>
    </row>
    <row r="13" spans="1:14" ht="15">
      <c r="A13" s="4" t="s">
        <v>207</v>
      </c>
      <c r="B13" s="5">
        <f t="shared" si="0"/>
        <v>398</v>
      </c>
      <c r="C13" s="4">
        <v>2</v>
      </c>
      <c r="D13" s="5"/>
      <c r="E13" s="4"/>
      <c r="F13" s="5">
        <v>19</v>
      </c>
      <c r="G13" s="5"/>
      <c r="H13" s="4"/>
      <c r="I13" s="5"/>
      <c r="J13" s="4"/>
      <c r="K13" s="4">
        <v>76</v>
      </c>
      <c r="L13" s="4"/>
      <c r="M13" s="4">
        <v>300</v>
      </c>
      <c r="N13" s="4">
        <v>1</v>
      </c>
    </row>
    <row r="14" spans="1:14" ht="15">
      <c r="A14" s="4" t="s">
        <v>208</v>
      </c>
      <c r="B14" s="5">
        <f t="shared" si="0"/>
        <v>787</v>
      </c>
      <c r="C14" s="4">
        <v>5</v>
      </c>
      <c r="D14" s="5"/>
      <c r="E14" s="4"/>
      <c r="F14" s="5">
        <v>4</v>
      </c>
      <c r="G14" s="5"/>
      <c r="H14" s="4"/>
      <c r="I14" s="5">
        <v>1</v>
      </c>
      <c r="J14" s="4"/>
      <c r="K14" s="4">
        <v>96</v>
      </c>
      <c r="L14" s="4"/>
      <c r="M14" s="4">
        <v>675</v>
      </c>
      <c r="N14" s="4">
        <v>6</v>
      </c>
    </row>
    <row r="15" spans="1:14" ht="15">
      <c r="A15" s="4" t="s">
        <v>209</v>
      </c>
      <c r="B15" s="5">
        <f t="shared" si="0"/>
        <v>1179</v>
      </c>
      <c r="C15" s="4">
        <v>8</v>
      </c>
      <c r="D15" s="5"/>
      <c r="E15" s="4"/>
      <c r="F15" s="5">
        <v>7</v>
      </c>
      <c r="G15" s="5"/>
      <c r="H15" s="4">
        <v>4</v>
      </c>
      <c r="I15" s="5">
        <v>2</v>
      </c>
      <c r="J15" s="4"/>
      <c r="K15" s="4">
        <v>208</v>
      </c>
      <c r="L15" s="4">
        <v>19</v>
      </c>
      <c r="M15" s="4">
        <v>923</v>
      </c>
      <c r="N15" s="4">
        <v>8</v>
      </c>
    </row>
    <row r="16" spans="1:14" ht="15">
      <c r="A16" s="4" t="s">
        <v>72</v>
      </c>
      <c r="B16" s="5">
        <f t="shared" si="0"/>
        <v>191</v>
      </c>
      <c r="C16" s="4"/>
      <c r="D16" s="5"/>
      <c r="E16" s="4"/>
      <c r="F16" s="5">
        <v>2</v>
      </c>
      <c r="G16" s="5"/>
      <c r="H16" s="4"/>
      <c r="I16" s="5"/>
      <c r="J16" s="4"/>
      <c r="K16" s="4">
        <v>45</v>
      </c>
      <c r="L16" s="4"/>
      <c r="M16" s="4">
        <v>143</v>
      </c>
      <c r="N16" s="4">
        <v>1</v>
      </c>
    </row>
    <row r="17" spans="1:14" ht="15">
      <c r="A17" s="4" t="s">
        <v>18</v>
      </c>
      <c r="B17" s="5">
        <f t="shared" si="0"/>
        <v>69</v>
      </c>
      <c r="C17" s="4"/>
      <c r="D17" s="5"/>
      <c r="E17" s="4"/>
      <c r="F17" s="5">
        <v>1</v>
      </c>
      <c r="G17" s="5"/>
      <c r="H17" s="4"/>
      <c r="I17" s="5"/>
      <c r="J17" s="4"/>
      <c r="K17" s="4">
        <v>20</v>
      </c>
      <c r="L17" s="4"/>
      <c r="M17" s="4">
        <v>48</v>
      </c>
      <c r="N17" s="4"/>
    </row>
    <row r="18" spans="1:14" ht="15">
      <c r="A18" s="7" t="s">
        <v>210</v>
      </c>
      <c r="B18" s="5">
        <f t="shared" si="0"/>
        <v>5168</v>
      </c>
      <c r="C18" s="4">
        <v>128</v>
      </c>
      <c r="D18" s="5">
        <v>1747</v>
      </c>
      <c r="E18" s="11">
        <v>24</v>
      </c>
      <c r="F18" s="11">
        <v>46</v>
      </c>
      <c r="G18" s="5"/>
      <c r="H18" s="4">
        <v>32</v>
      </c>
      <c r="I18" s="5">
        <v>10</v>
      </c>
      <c r="J18" s="4">
        <v>1</v>
      </c>
      <c r="K18" s="4">
        <v>591</v>
      </c>
      <c r="L18" s="4">
        <v>37</v>
      </c>
      <c r="M18" s="4">
        <v>2517</v>
      </c>
      <c r="N18" s="4">
        <f>SUM(2060-37-1-10-32-46-24-1747-128)</f>
        <v>35</v>
      </c>
    </row>
    <row r="19" spans="1:14" ht="15">
      <c r="A19" s="4" t="s">
        <v>211</v>
      </c>
      <c r="B19" s="5">
        <f t="shared" si="0"/>
        <v>130</v>
      </c>
      <c r="C19" s="4"/>
      <c r="D19" s="5"/>
      <c r="E19" s="4"/>
      <c r="F19" s="5">
        <v>4</v>
      </c>
      <c r="G19" s="5"/>
      <c r="H19" s="4"/>
      <c r="I19" s="5"/>
      <c r="J19" s="4"/>
      <c r="K19" s="4">
        <v>36</v>
      </c>
      <c r="L19" s="4"/>
      <c r="M19" s="4">
        <v>90</v>
      </c>
      <c r="N19" s="4"/>
    </row>
    <row r="20" spans="1:14" ht="15">
      <c r="A20" s="20" t="s">
        <v>212</v>
      </c>
      <c r="B20" s="5">
        <f t="shared" si="0"/>
        <v>71</v>
      </c>
      <c r="C20" s="4">
        <v>1</v>
      </c>
      <c r="D20" s="5"/>
      <c r="E20" s="4"/>
      <c r="F20" s="5">
        <v>2</v>
      </c>
      <c r="G20" s="5"/>
      <c r="H20" s="4"/>
      <c r="I20" s="5"/>
      <c r="J20" s="4"/>
      <c r="K20" s="4">
        <v>12</v>
      </c>
      <c r="L20" s="4"/>
      <c r="M20" s="4">
        <v>53</v>
      </c>
      <c r="N20" s="4">
        <v>3</v>
      </c>
    </row>
    <row r="21" spans="1:14" ht="15">
      <c r="A21" s="29"/>
      <c r="B21" s="5"/>
      <c r="C21" s="4"/>
      <c r="D21" s="5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5">
      <c r="A22" s="20" t="s">
        <v>9</v>
      </c>
      <c r="B22" s="5">
        <f>SUM(B9:B20)</f>
        <v>10343</v>
      </c>
      <c r="C22" s="4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</row>
    <row r="24" ht="15">
      <c r="B24" s="2" t="s">
        <v>312</v>
      </c>
    </row>
    <row r="26" ht="15">
      <c r="B26" s="2" t="s">
        <v>313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75" right="0.75" top="1" bottom="1" header="0.5" footer="0.5"/>
  <pageSetup horizontalDpi="600" verticalDpi="600" orientation="landscape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6"/>
  <sheetViews>
    <sheetView defaultGridColor="0" zoomScalePageLayoutView="0" colorId="8" workbookViewId="0" topLeftCell="A1">
      <selection activeCell="C10" sqref="C10:P10"/>
    </sheetView>
  </sheetViews>
  <sheetFormatPr defaultColWidth="8.88671875" defaultRowHeight="15"/>
  <cols>
    <col min="1" max="1" width="7.4453125" style="0" customWidth="1"/>
    <col min="2" max="2" width="7.5546875" style="0" customWidth="1"/>
    <col min="3" max="3" width="7.4453125" style="0" customWidth="1"/>
    <col min="4" max="4" width="5.88671875" style="0" customWidth="1"/>
    <col min="5" max="5" width="5.6640625" style="0" customWidth="1"/>
    <col min="6" max="6" width="5.5546875" style="0" customWidth="1"/>
    <col min="7" max="7" width="7.99609375" style="0" customWidth="1"/>
    <col min="8" max="8" width="7.4453125" style="0" customWidth="1"/>
    <col min="9" max="9" width="7.5546875" style="0" customWidth="1"/>
    <col min="10" max="10" width="5.6640625" style="0" customWidth="1"/>
    <col min="11" max="11" width="4.99609375" style="0" customWidth="1"/>
    <col min="12" max="12" width="4.6640625" style="0" customWidth="1"/>
    <col min="13" max="13" width="6.6640625" style="0" customWidth="1"/>
    <col min="14" max="15" width="6.88671875" style="0" customWidth="1"/>
    <col min="16" max="16" width="6.6640625" style="0" customWidth="1"/>
  </cols>
  <sheetData>
    <row r="1" spans="1:16" ht="18.75" customHeight="1">
      <c r="A1" s="36" t="s">
        <v>214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</row>
    <row r="2" spans="1:16" ht="18.75" customHeight="1">
      <c r="A2" s="36" t="s">
        <v>311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  <c r="P2" s="37"/>
    </row>
    <row r="3" ht="18.75">
      <c r="A3" s="1"/>
    </row>
    <row r="4" spans="1:16" ht="15">
      <c r="A4" s="34" t="s">
        <v>333</v>
      </c>
      <c r="B4" s="35"/>
      <c r="C4" s="35"/>
      <c r="D4" s="35"/>
      <c r="E4" s="35"/>
      <c r="F4" s="35"/>
      <c r="G4" s="35"/>
      <c r="H4" s="35"/>
      <c r="I4" s="35"/>
      <c r="J4" s="37"/>
      <c r="K4" s="37"/>
      <c r="L4" s="37"/>
      <c r="M4" s="37"/>
      <c r="N4" s="37"/>
      <c r="O4" s="37"/>
      <c r="P4" s="37"/>
    </row>
    <row r="5" spans="1:16" ht="15">
      <c r="A5" s="34" t="s">
        <v>20</v>
      </c>
      <c r="B5" s="35"/>
      <c r="C5" s="35"/>
      <c r="D5" s="35"/>
      <c r="E5" s="35"/>
      <c r="F5" s="35"/>
      <c r="G5" s="35"/>
      <c r="H5" s="35"/>
      <c r="I5" s="35"/>
      <c r="J5" s="37"/>
      <c r="K5" s="37"/>
      <c r="L5" s="37"/>
      <c r="M5" s="37"/>
      <c r="N5" s="37"/>
      <c r="O5" s="37"/>
      <c r="P5" s="37"/>
    </row>
    <row r="6" spans="1:16" ht="15">
      <c r="A6" s="34" t="s">
        <v>19</v>
      </c>
      <c r="B6" s="35"/>
      <c r="C6" s="35"/>
      <c r="D6" s="35"/>
      <c r="E6" s="35"/>
      <c r="F6" s="35"/>
      <c r="G6" s="35"/>
      <c r="H6" s="35"/>
      <c r="I6" s="35"/>
      <c r="J6" s="37"/>
      <c r="K6" s="37"/>
      <c r="L6" s="37"/>
      <c r="M6" s="37"/>
      <c r="N6" s="37"/>
      <c r="O6" s="37"/>
      <c r="P6" s="37"/>
    </row>
    <row r="8" spans="1:10" s="10" customFormat="1" ht="15">
      <c r="A8"/>
      <c r="B8" s="8"/>
      <c r="C8"/>
      <c r="D8"/>
      <c r="E8"/>
      <c r="F8"/>
      <c r="G8"/>
      <c r="H8"/>
      <c r="I8"/>
      <c r="J8"/>
    </row>
    <row r="9" spans="1:16" ht="33.75">
      <c r="A9" s="3" t="s">
        <v>10</v>
      </c>
      <c r="B9" s="9" t="s">
        <v>0</v>
      </c>
      <c r="C9" s="9" t="s">
        <v>309</v>
      </c>
      <c r="D9" s="9" t="s">
        <v>1</v>
      </c>
      <c r="E9" s="3" t="s">
        <v>2</v>
      </c>
      <c r="F9" s="9" t="s">
        <v>11</v>
      </c>
      <c r="G9" s="3" t="s">
        <v>3</v>
      </c>
      <c r="H9" s="3" t="s">
        <v>4</v>
      </c>
      <c r="I9" s="3" t="s">
        <v>5</v>
      </c>
      <c r="J9" s="3" t="s">
        <v>6</v>
      </c>
      <c r="K9" s="3" t="s">
        <v>13</v>
      </c>
      <c r="L9" s="3" t="s">
        <v>14</v>
      </c>
      <c r="M9" s="3" t="s">
        <v>310</v>
      </c>
      <c r="N9" s="9" t="s">
        <v>7</v>
      </c>
      <c r="O9" s="9" t="s">
        <v>305</v>
      </c>
      <c r="P9" s="3" t="s">
        <v>8</v>
      </c>
    </row>
    <row r="10" spans="1:16" ht="15">
      <c r="A10" s="4" t="s">
        <v>42</v>
      </c>
      <c r="B10" s="5">
        <f>SUM(C10:P10)</f>
        <v>37269</v>
      </c>
      <c r="C10" s="4">
        <f>SUM(746+3079)</f>
        <v>3825</v>
      </c>
      <c r="D10" s="5">
        <v>4281</v>
      </c>
      <c r="E10" s="4">
        <v>1256</v>
      </c>
      <c r="F10" s="5">
        <v>104</v>
      </c>
      <c r="G10" s="5">
        <v>124</v>
      </c>
      <c r="H10" s="4">
        <v>993</v>
      </c>
      <c r="I10" s="5">
        <v>143</v>
      </c>
      <c r="J10" s="4">
        <v>135</v>
      </c>
      <c r="K10" s="4">
        <v>3318</v>
      </c>
      <c r="L10" s="4">
        <v>56</v>
      </c>
      <c r="M10" s="4">
        <v>8378</v>
      </c>
      <c r="N10" s="4">
        <v>631</v>
      </c>
      <c r="O10" s="4">
        <v>12053</v>
      </c>
      <c r="P10" s="4">
        <f>SUM(16838-631-56-3318-135-143-993-124-104-1256-4281-3825)</f>
        <v>1972</v>
      </c>
    </row>
    <row r="11" spans="1:16" ht="15">
      <c r="A11" s="4"/>
      <c r="B11" s="5"/>
      <c r="C11" s="4"/>
      <c r="D11" s="5"/>
      <c r="E11" s="4"/>
      <c r="F11" s="5"/>
      <c r="G11" s="5"/>
      <c r="H11" s="4"/>
      <c r="I11" s="5"/>
      <c r="J11" s="4"/>
      <c r="K11" s="4"/>
      <c r="L11" s="4"/>
      <c r="M11" s="4"/>
      <c r="N11" s="4"/>
      <c r="O11" s="4"/>
      <c r="P11" s="4"/>
    </row>
    <row r="12" spans="1:16" ht="15">
      <c r="A12" s="4" t="s">
        <v>9</v>
      </c>
      <c r="B12" s="5">
        <f>SUM(B10:B11)</f>
        <v>37269</v>
      </c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  <c r="O12" s="4"/>
      <c r="P12" s="4"/>
    </row>
    <row r="13" spans="1:11" ht="15">
      <c r="A13" s="12"/>
      <c r="B13" s="13"/>
      <c r="C13" s="13"/>
      <c r="D13" s="12"/>
      <c r="E13" s="13"/>
      <c r="F13" s="13"/>
      <c r="G13" s="12"/>
      <c r="H13" s="13"/>
      <c r="I13" s="12"/>
      <c r="J13" s="12"/>
      <c r="K13" s="12"/>
    </row>
    <row r="14" ht="15">
      <c r="B14" s="2" t="s">
        <v>312</v>
      </c>
    </row>
    <row r="16" ht="13.5" customHeight="1">
      <c r="B16" s="2" t="s">
        <v>313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5" sqref="A5:N5"/>
    </sheetView>
  </sheetViews>
  <sheetFormatPr defaultColWidth="8.88671875" defaultRowHeight="15"/>
  <cols>
    <col min="1" max="1" width="12.3359375" style="0" customWidth="1"/>
    <col min="2" max="2" width="8.3359375" style="0" customWidth="1"/>
    <col min="3" max="3" width="8.99609375" style="0" customWidth="1"/>
    <col min="4" max="4" width="6.88671875" style="0" customWidth="1"/>
    <col min="5" max="5" width="5.88671875" style="0" customWidth="1"/>
    <col min="6" max="6" width="5.5546875" style="0" customWidth="1"/>
    <col min="7" max="8" width="6.3359375" style="0" customWidth="1"/>
    <col min="9" max="9" width="7.6640625" style="0" customWidth="1"/>
    <col min="10" max="10" width="5.5546875" style="0" customWidth="1"/>
    <col min="11" max="11" width="6.21484375" style="0" customWidth="1"/>
    <col min="12" max="13" width="6.99609375" style="0" customWidth="1"/>
    <col min="14" max="14" width="5.6640625" style="0" customWidth="1"/>
  </cols>
  <sheetData>
    <row r="1" spans="1:14" ht="18.75" customHeight="1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  <c r="N1" s="37"/>
    </row>
    <row r="2" spans="1:14" ht="18.75" customHeight="1">
      <c r="A2" s="36" t="s">
        <v>311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</row>
    <row r="3" ht="18.75">
      <c r="A3" s="1"/>
    </row>
    <row r="4" spans="1:14" ht="15">
      <c r="A4" s="34" t="s">
        <v>316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7"/>
      <c r="M4" s="37"/>
      <c r="N4" s="37"/>
    </row>
    <row r="5" spans="1:14" ht="15">
      <c r="A5" s="34" t="s">
        <v>15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7"/>
      <c r="M5" s="37"/>
      <c r="N5" s="37"/>
    </row>
    <row r="6" spans="1:14" ht="15">
      <c r="A6" s="34" t="s">
        <v>16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7"/>
      <c r="M6" s="37"/>
      <c r="N6" s="37"/>
    </row>
    <row r="8" spans="1:11" s="10" customFormat="1" ht="15">
      <c r="A8"/>
      <c r="B8" s="8"/>
      <c r="C8"/>
      <c r="D8"/>
      <c r="E8"/>
      <c r="F8"/>
      <c r="G8"/>
      <c r="H8"/>
      <c r="I8"/>
      <c r="J8"/>
      <c r="K8"/>
    </row>
    <row r="9" spans="1:14" ht="22.5">
      <c r="A9" s="3" t="s">
        <v>10</v>
      </c>
      <c r="B9" s="9" t="s">
        <v>0</v>
      </c>
      <c r="C9" s="9" t="s">
        <v>304</v>
      </c>
      <c r="D9" s="9" t="s">
        <v>1</v>
      </c>
      <c r="E9" s="3" t="s">
        <v>2</v>
      </c>
      <c r="F9" s="9" t="s">
        <v>11</v>
      </c>
      <c r="G9" s="3" t="s">
        <v>3</v>
      </c>
      <c r="H9" s="3" t="s">
        <v>4</v>
      </c>
      <c r="I9" s="3" t="s">
        <v>5</v>
      </c>
      <c r="J9" s="3" t="s">
        <v>6</v>
      </c>
      <c r="K9" s="3" t="s">
        <v>310</v>
      </c>
      <c r="L9" s="9" t="s">
        <v>7</v>
      </c>
      <c r="M9" s="9" t="s">
        <v>305</v>
      </c>
      <c r="N9" s="3" t="s">
        <v>8</v>
      </c>
    </row>
    <row r="10" spans="1:14" ht="15">
      <c r="A10" s="4" t="s">
        <v>28</v>
      </c>
      <c r="B10" s="5">
        <f aca="true" t="shared" si="0" ref="B10:B22">SUM(C10:N10)</f>
        <v>814</v>
      </c>
      <c r="C10" s="4">
        <v>6</v>
      </c>
      <c r="D10" s="5">
        <v>54</v>
      </c>
      <c r="E10" s="4">
        <v>4</v>
      </c>
      <c r="F10" s="5">
        <v>134</v>
      </c>
      <c r="G10" s="5">
        <v>2</v>
      </c>
      <c r="H10" s="4"/>
      <c r="I10" s="5">
        <v>1</v>
      </c>
      <c r="J10" s="4"/>
      <c r="K10" s="4">
        <v>180</v>
      </c>
      <c r="L10" s="4">
        <v>34</v>
      </c>
      <c r="M10" s="4">
        <v>386</v>
      </c>
      <c r="N10" s="4">
        <f>SUM(248-34-1-2-134-4-54-6)</f>
        <v>13</v>
      </c>
    </row>
    <row r="11" spans="1:14" ht="15">
      <c r="A11" s="4" t="s">
        <v>29</v>
      </c>
      <c r="B11" s="5">
        <f t="shared" si="0"/>
        <v>458</v>
      </c>
      <c r="C11" s="4"/>
      <c r="D11" s="5"/>
      <c r="E11" s="4"/>
      <c r="F11" s="5">
        <v>2</v>
      </c>
      <c r="G11" s="5"/>
      <c r="H11" s="4">
        <v>1</v>
      </c>
      <c r="I11" s="5"/>
      <c r="J11" s="4"/>
      <c r="K11" s="4">
        <v>60</v>
      </c>
      <c r="L11" s="4"/>
      <c r="M11" s="4">
        <v>394</v>
      </c>
      <c r="N11" s="4">
        <v>1</v>
      </c>
    </row>
    <row r="12" spans="1:14" ht="15">
      <c r="A12" s="4" t="s">
        <v>30</v>
      </c>
      <c r="B12" s="5">
        <f t="shared" si="0"/>
        <v>774</v>
      </c>
      <c r="C12" s="4">
        <v>14</v>
      </c>
      <c r="D12" s="5">
        <v>30</v>
      </c>
      <c r="E12" s="4">
        <v>33</v>
      </c>
      <c r="F12" s="5"/>
      <c r="G12" s="5"/>
      <c r="H12" s="4">
        <v>34</v>
      </c>
      <c r="I12" s="5">
        <v>11</v>
      </c>
      <c r="J12" s="4">
        <v>1</v>
      </c>
      <c r="K12" s="4">
        <v>205</v>
      </c>
      <c r="L12" s="4">
        <v>25</v>
      </c>
      <c r="M12" s="4">
        <v>420</v>
      </c>
      <c r="N12" s="4">
        <f>SUM(149-25-1-11-34-33-30-14)</f>
        <v>1</v>
      </c>
    </row>
    <row r="13" spans="1:14" ht="15">
      <c r="A13" s="4" t="s">
        <v>31</v>
      </c>
      <c r="B13" s="5">
        <f t="shared" si="0"/>
        <v>454</v>
      </c>
      <c r="C13" s="4">
        <v>18</v>
      </c>
      <c r="D13" s="5"/>
      <c r="E13" s="4"/>
      <c r="F13" s="5">
        <v>3</v>
      </c>
      <c r="G13" s="5">
        <v>7</v>
      </c>
      <c r="H13" s="4">
        <v>1</v>
      </c>
      <c r="I13" s="5"/>
      <c r="J13" s="4"/>
      <c r="K13" s="4">
        <v>91</v>
      </c>
      <c r="L13" s="4">
        <v>13</v>
      </c>
      <c r="M13" s="4">
        <v>318</v>
      </c>
      <c r="N13" s="4">
        <f>SUM(45-13-1-7-3-18)</f>
        <v>3</v>
      </c>
    </row>
    <row r="14" spans="1:14" ht="15">
      <c r="A14" s="4" t="s">
        <v>32</v>
      </c>
      <c r="B14" s="5">
        <f t="shared" si="0"/>
        <v>132</v>
      </c>
      <c r="C14" s="4">
        <v>24</v>
      </c>
      <c r="D14" s="5"/>
      <c r="E14" s="4"/>
      <c r="F14" s="5"/>
      <c r="G14" s="5"/>
      <c r="H14" s="4">
        <v>1</v>
      </c>
      <c r="I14" s="5"/>
      <c r="J14" s="4"/>
      <c r="K14" s="4">
        <v>18</v>
      </c>
      <c r="L14" s="4"/>
      <c r="M14" s="4">
        <v>88</v>
      </c>
      <c r="N14" s="4">
        <v>1</v>
      </c>
    </row>
    <row r="15" spans="1:14" ht="15">
      <c r="A15" s="4" t="s">
        <v>33</v>
      </c>
      <c r="B15" s="5">
        <f t="shared" si="0"/>
        <v>403</v>
      </c>
      <c r="C15" s="4">
        <v>2</v>
      </c>
      <c r="D15" s="5"/>
      <c r="E15" s="4"/>
      <c r="F15" s="5">
        <v>46</v>
      </c>
      <c r="G15" s="5">
        <v>1</v>
      </c>
      <c r="H15" s="4"/>
      <c r="I15" s="5"/>
      <c r="J15" s="4"/>
      <c r="K15" s="4">
        <v>99</v>
      </c>
      <c r="L15" s="4">
        <v>5</v>
      </c>
      <c r="M15" s="4">
        <v>250</v>
      </c>
      <c r="N15" s="4"/>
    </row>
    <row r="16" spans="1:14" ht="15">
      <c r="A16" s="4" t="s">
        <v>34</v>
      </c>
      <c r="B16" s="5">
        <f t="shared" si="0"/>
        <v>192</v>
      </c>
      <c r="C16" s="4">
        <v>2</v>
      </c>
      <c r="D16" s="5"/>
      <c r="E16" s="4"/>
      <c r="F16" s="5">
        <v>33</v>
      </c>
      <c r="G16" s="5"/>
      <c r="H16" s="4"/>
      <c r="I16" s="5"/>
      <c r="J16" s="4"/>
      <c r="K16" s="4">
        <v>44</v>
      </c>
      <c r="L16" s="4"/>
      <c r="M16" s="4">
        <v>113</v>
      </c>
      <c r="N16" s="4"/>
    </row>
    <row r="17" spans="1:14" ht="15">
      <c r="A17" s="4" t="s">
        <v>35</v>
      </c>
      <c r="B17" s="5">
        <f t="shared" si="0"/>
        <v>258</v>
      </c>
      <c r="C17" s="4">
        <v>2</v>
      </c>
      <c r="D17" s="5"/>
      <c r="E17" s="4"/>
      <c r="F17" s="5">
        <v>11</v>
      </c>
      <c r="G17" s="5"/>
      <c r="H17" s="4"/>
      <c r="I17" s="5">
        <v>1</v>
      </c>
      <c r="J17" s="4"/>
      <c r="K17" s="4">
        <v>73</v>
      </c>
      <c r="L17" s="4"/>
      <c r="M17" s="4">
        <v>171</v>
      </c>
      <c r="N17" s="4"/>
    </row>
    <row r="18" spans="1:14" ht="15">
      <c r="A18" s="4" t="s">
        <v>36</v>
      </c>
      <c r="B18" s="5">
        <f t="shared" si="0"/>
        <v>143</v>
      </c>
      <c r="C18" s="4">
        <v>2</v>
      </c>
      <c r="D18" s="5"/>
      <c r="E18" s="4"/>
      <c r="F18" s="5">
        <v>31</v>
      </c>
      <c r="G18" s="5"/>
      <c r="H18" s="4"/>
      <c r="I18" s="5"/>
      <c r="J18" s="4"/>
      <c r="K18" s="4">
        <v>27</v>
      </c>
      <c r="L18" s="4"/>
      <c r="M18" s="4">
        <v>83</v>
      </c>
      <c r="N18" s="4"/>
    </row>
    <row r="19" spans="1:14" ht="15">
      <c r="A19" s="4" t="s">
        <v>37</v>
      </c>
      <c r="B19" s="5">
        <f t="shared" si="0"/>
        <v>82</v>
      </c>
      <c r="C19" s="4"/>
      <c r="D19" s="5"/>
      <c r="E19" s="4"/>
      <c r="F19" s="5">
        <v>1</v>
      </c>
      <c r="G19" s="5"/>
      <c r="H19" s="4"/>
      <c r="I19" s="5"/>
      <c r="J19" s="4"/>
      <c r="K19" s="4">
        <v>17</v>
      </c>
      <c r="L19" s="4"/>
      <c r="M19" s="4">
        <v>64</v>
      </c>
      <c r="N19" s="4"/>
    </row>
    <row r="20" spans="1:14" ht="15">
      <c r="A20" s="4" t="s">
        <v>38</v>
      </c>
      <c r="B20" s="5">
        <f t="shared" si="0"/>
        <v>206</v>
      </c>
      <c r="C20" s="4"/>
      <c r="D20" s="5"/>
      <c r="E20" s="4"/>
      <c r="F20" s="5">
        <v>30</v>
      </c>
      <c r="G20" s="5"/>
      <c r="H20" s="4"/>
      <c r="I20" s="5">
        <v>1</v>
      </c>
      <c r="J20" s="4"/>
      <c r="K20" s="4">
        <v>47</v>
      </c>
      <c r="L20" s="4"/>
      <c r="M20" s="4">
        <v>128</v>
      </c>
      <c r="N20" s="4"/>
    </row>
    <row r="21" spans="1:14" ht="15">
      <c r="A21" s="4" t="s">
        <v>39</v>
      </c>
      <c r="B21" s="5">
        <f t="shared" si="0"/>
        <v>1911</v>
      </c>
      <c r="C21" s="4">
        <v>23</v>
      </c>
      <c r="D21" s="5">
        <v>21</v>
      </c>
      <c r="E21" s="4">
        <v>29</v>
      </c>
      <c r="F21" s="5">
        <v>9</v>
      </c>
      <c r="G21" s="5"/>
      <c r="H21" s="4">
        <v>9</v>
      </c>
      <c r="I21" s="5">
        <v>3</v>
      </c>
      <c r="J21" s="4">
        <v>3</v>
      </c>
      <c r="K21" s="4">
        <v>603</v>
      </c>
      <c r="L21" s="4">
        <v>40</v>
      </c>
      <c r="M21" s="4">
        <v>1078</v>
      </c>
      <c r="N21" s="4">
        <f>SUM(230-40-3-3-9-9-29-21-23)</f>
        <v>93</v>
      </c>
    </row>
    <row r="22" spans="1:14" ht="15">
      <c r="A22" s="4" t="s">
        <v>40</v>
      </c>
      <c r="B22" s="5">
        <f t="shared" si="0"/>
        <v>230</v>
      </c>
      <c r="C22" s="4"/>
      <c r="D22" s="5"/>
      <c r="E22" s="4"/>
      <c r="F22" s="5">
        <v>2</v>
      </c>
      <c r="G22" s="5"/>
      <c r="H22" s="4"/>
      <c r="I22" s="5"/>
      <c r="J22" s="4"/>
      <c r="K22" s="4">
        <v>57</v>
      </c>
      <c r="L22" s="4"/>
      <c r="M22" s="4">
        <v>169</v>
      </c>
      <c r="N22" s="4">
        <v>2</v>
      </c>
    </row>
    <row r="23" spans="1:14" ht="15">
      <c r="A23" s="4"/>
      <c r="B23" s="5"/>
      <c r="C23" s="4"/>
      <c r="D23" s="5"/>
      <c r="E23" s="4"/>
      <c r="F23" s="5"/>
      <c r="G23" s="5"/>
      <c r="H23" s="4"/>
      <c r="I23" s="5"/>
      <c r="J23" s="4"/>
      <c r="K23" s="4"/>
      <c r="L23" s="4"/>
      <c r="M23" s="4"/>
      <c r="N23" s="4"/>
    </row>
    <row r="24" spans="1:14" ht="15">
      <c r="A24" s="4" t="s">
        <v>9</v>
      </c>
      <c r="B24" s="5">
        <f>SUM(B10:B22)</f>
        <v>6057</v>
      </c>
      <c r="C24" s="4"/>
      <c r="D24" s="5"/>
      <c r="E24" s="4"/>
      <c r="F24" s="5"/>
      <c r="G24" s="5"/>
      <c r="H24" s="4"/>
      <c r="I24" s="5"/>
      <c r="J24" s="4"/>
      <c r="K24" s="4"/>
      <c r="L24" s="4"/>
      <c r="M24" s="4"/>
      <c r="N24" s="4"/>
    </row>
    <row r="26" ht="15">
      <c r="B26" s="2" t="s">
        <v>312</v>
      </c>
    </row>
    <row r="28" ht="15">
      <c r="B28" s="2" t="s">
        <v>313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75" right="0.75" top="1" bottom="1" header="0.5" footer="0.5"/>
  <pageSetup horizontalDpi="600" verticalDpi="600" orientation="landscape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0"/>
  <sheetViews>
    <sheetView defaultGridColor="0" zoomScalePageLayoutView="0" colorId="8" workbookViewId="0" topLeftCell="A14">
      <selection activeCell="A5" sqref="A5:N5"/>
    </sheetView>
  </sheetViews>
  <sheetFormatPr defaultColWidth="8.88671875" defaultRowHeight="15"/>
  <cols>
    <col min="1" max="1" width="10.21484375" style="0" customWidth="1"/>
    <col min="2" max="2" width="7.3359375" style="0" customWidth="1"/>
    <col min="3" max="3" width="7.21484375" style="0" customWidth="1"/>
    <col min="4" max="4" width="6.77734375" style="0" customWidth="1"/>
    <col min="5" max="6" width="5.6640625" style="0" customWidth="1"/>
    <col min="7" max="7" width="6.77734375" style="0" customWidth="1"/>
    <col min="8" max="8" width="6.21484375" style="0" customWidth="1"/>
    <col min="9" max="9" width="7.99609375" style="0" customWidth="1"/>
    <col min="10" max="11" width="6.3359375" style="0" customWidth="1"/>
    <col min="12" max="13" width="7.6640625" style="0" customWidth="1"/>
    <col min="14" max="14" width="8.21484375" style="0" customWidth="1"/>
  </cols>
  <sheetData>
    <row r="1" spans="1:14" ht="18.75" customHeight="1">
      <c r="A1" s="36" t="s">
        <v>239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8.75" customHeight="1">
      <c r="A2" s="36" t="s">
        <v>311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ht="18.75">
      <c r="A3" s="1"/>
    </row>
    <row r="4" spans="1:14" ht="15">
      <c r="A4" s="34" t="s">
        <v>334</v>
      </c>
      <c r="B4" s="35"/>
      <c r="C4" s="3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5">
      <c r="A5" s="34" t="s">
        <v>20</v>
      </c>
      <c r="B5" s="35"/>
      <c r="C5" s="3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5">
      <c r="A6" s="34" t="s">
        <v>19</v>
      </c>
      <c r="B6" s="35"/>
      <c r="C6" s="35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ht="15">
      <c r="B7" s="8"/>
    </row>
    <row r="8" spans="1:14" ht="22.5">
      <c r="A8" s="3" t="s">
        <v>10</v>
      </c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310</v>
      </c>
      <c r="L8" s="9" t="s">
        <v>7</v>
      </c>
      <c r="M8" s="9" t="s">
        <v>305</v>
      </c>
      <c r="N8" s="3" t="s">
        <v>8</v>
      </c>
    </row>
    <row r="9" spans="1:14" ht="15">
      <c r="A9" s="4" t="s">
        <v>133</v>
      </c>
      <c r="B9" s="5">
        <f aca="true" t="shared" si="0" ref="B9:B25">SUM(C9:N9)</f>
        <v>94</v>
      </c>
      <c r="C9" s="4">
        <v>1</v>
      </c>
      <c r="D9" s="5">
        <v>1</v>
      </c>
      <c r="E9" s="4"/>
      <c r="F9" s="5">
        <v>4</v>
      </c>
      <c r="G9" s="5"/>
      <c r="H9" s="4"/>
      <c r="I9" s="5"/>
      <c r="J9" s="4"/>
      <c r="K9" s="4">
        <v>11</v>
      </c>
      <c r="L9" s="4"/>
      <c r="M9" s="4">
        <v>77</v>
      </c>
      <c r="N9" s="4"/>
    </row>
    <row r="10" spans="1:14" ht="15">
      <c r="A10" s="4" t="s">
        <v>215</v>
      </c>
      <c r="B10" s="5">
        <f t="shared" si="0"/>
        <v>44</v>
      </c>
      <c r="C10" s="4"/>
      <c r="D10" s="5"/>
      <c r="E10" s="4"/>
      <c r="F10" s="5">
        <v>6</v>
      </c>
      <c r="G10" s="5">
        <v>7</v>
      </c>
      <c r="H10" s="4"/>
      <c r="I10" s="5"/>
      <c r="J10" s="4"/>
      <c r="K10" s="4">
        <v>14</v>
      </c>
      <c r="L10" s="4"/>
      <c r="M10" s="4">
        <v>15</v>
      </c>
      <c r="N10" s="4">
        <v>2</v>
      </c>
    </row>
    <row r="11" spans="1:14" ht="15">
      <c r="A11" s="4" t="s">
        <v>216</v>
      </c>
      <c r="B11" s="5">
        <f t="shared" si="0"/>
        <v>158</v>
      </c>
      <c r="C11" s="4"/>
      <c r="D11" s="5"/>
      <c r="E11" s="4"/>
      <c r="F11" s="5">
        <v>1</v>
      </c>
      <c r="G11" s="5"/>
      <c r="H11" s="4"/>
      <c r="I11" s="5"/>
      <c r="J11" s="4"/>
      <c r="K11" s="4">
        <v>22</v>
      </c>
      <c r="L11" s="4"/>
      <c r="M11" s="4">
        <v>135</v>
      </c>
      <c r="N11" s="4"/>
    </row>
    <row r="12" spans="1:14" ht="15">
      <c r="A12" s="4" t="s">
        <v>217</v>
      </c>
      <c r="B12" s="5">
        <f t="shared" si="0"/>
        <v>31</v>
      </c>
      <c r="C12" s="4"/>
      <c r="D12" s="5"/>
      <c r="E12" s="4"/>
      <c r="F12" s="5">
        <v>4</v>
      </c>
      <c r="G12" s="5"/>
      <c r="H12" s="4"/>
      <c r="I12" s="5"/>
      <c r="J12" s="4"/>
      <c r="K12" s="4">
        <v>11</v>
      </c>
      <c r="L12" s="4"/>
      <c r="M12" s="4">
        <v>16</v>
      </c>
      <c r="N12" s="4"/>
    </row>
    <row r="13" spans="1:14" ht="15">
      <c r="A13" s="4" t="s">
        <v>218</v>
      </c>
      <c r="B13" s="5">
        <f t="shared" si="0"/>
        <v>20</v>
      </c>
      <c r="C13" s="4"/>
      <c r="D13" s="5"/>
      <c r="E13" s="4"/>
      <c r="F13" s="5">
        <v>1</v>
      </c>
      <c r="G13" s="5"/>
      <c r="H13" s="4"/>
      <c r="I13" s="5"/>
      <c r="J13" s="4"/>
      <c r="K13" s="4">
        <v>7</v>
      </c>
      <c r="L13" s="4"/>
      <c r="M13" s="4">
        <v>12</v>
      </c>
      <c r="N13" s="4"/>
    </row>
    <row r="14" spans="1:14" ht="15" customHeight="1">
      <c r="A14" s="4" t="s">
        <v>219</v>
      </c>
      <c r="B14" s="5">
        <f t="shared" si="0"/>
        <v>73</v>
      </c>
      <c r="C14" s="4"/>
      <c r="D14" s="5"/>
      <c r="E14" s="4"/>
      <c r="F14" s="5">
        <v>12</v>
      </c>
      <c r="G14" s="5"/>
      <c r="H14" s="4"/>
      <c r="I14" s="5"/>
      <c r="J14" s="4"/>
      <c r="K14" s="4">
        <v>23</v>
      </c>
      <c r="L14" s="4"/>
      <c r="M14" s="4">
        <v>38</v>
      </c>
      <c r="N14" s="4"/>
    </row>
    <row r="15" spans="1:14" ht="15">
      <c r="A15" s="4" t="s">
        <v>220</v>
      </c>
      <c r="B15" s="5">
        <f t="shared" si="0"/>
        <v>177</v>
      </c>
      <c r="C15" s="4">
        <v>1</v>
      </c>
      <c r="D15" s="5"/>
      <c r="E15" s="4"/>
      <c r="F15" s="5">
        <v>2</v>
      </c>
      <c r="G15" s="5"/>
      <c r="H15" s="4"/>
      <c r="I15" s="5">
        <v>2</v>
      </c>
      <c r="J15" s="4"/>
      <c r="K15" s="4">
        <v>49</v>
      </c>
      <c r="L15" s="4"/>
      <c r="M15" s="4">
        <v>122</v>
      </c>
      <c r="N15" s="4">
        <v>1</v>
      </c>
    </row>
    <row r="16" spans="1:14" ht="15">
      <c r="A16" s="4" t="s">
        <v>221</v>
      </c>
      <c r="B16" s="5">
        <f t="shared" si="0"/>
        <v>49</v>
      </c>
      <c r="C16" s="29">
        <v>2</v>
      </c>
      <c r="D16" s="5"/>
      <c r="E16" s="4"/>
      <c r="F16" s="5">
        <v>4</v>
      </c>
      <c r="G16" s="5"/>
      <c r="H16" s="29"/>
      <c r="I16" s="5"/>
      <c r="J16" s="4"/>
      <c r="K16" s="4">
        <v>13</v>
      </c>
      <c r="L16" s="4"/>
      <c r="M16" s="4">
        <v>30</v>
      </c>
      <c r="N16" s="4"/>
    </row>
    <row r="17" spans="1:14" ht="15">
      <c r="A17" s="4" t="s">
        <v>222</v>
      </c>
      <c r="B17" s="5">
        <f t="shared" si="0"/>
        <v>60</v>
      </c>
      <c r="C17" s="29"/>
      <c r="D17" s="5"/>
      <c r="E17" s="4"/>
      <c r="F17" s="5">
        <v>7</v>
      </c>
      <c r="G17" s="5"/>
      <c r="H17" s="29"/>
      <c r="I17" s="5"/>
      <c r="J17" s="4"/>
      <c r="K17" s="4">
        <v>17</v>
      </c>
      <c r="L17" s="4"/>
      <c r="M17" s="4">
        <v>36</v>
      </c>
      <c r="N17" s="4"/>
    </row>
    <row r="18" spans="1:14" ht="15">
      <c r="A18" s="4" t="s">
        <v>223</v>
      </c>
      <c r="B18" s="21">
        <f t="shared" si="0"/>
        <v>49</v>
      </c>
      <c r="C18" s="29"/>
      <c r="D18" s="5"/>
      <c r="E18" s="4"/>
      <c r="F18" s="5">
        <v>6</v>
      </c>
      <c r="G18" s="5"/>
      <c r="H18" s="29"/>
      <c r="I18" s="5"/>
      <c r="J18" s="4"/>
      <c r="K18" s="4">
        <v>14</v>
      </c>
      <c r="L18" s="4"/>
      <c r="M18" s="4">
        <v>29</v>
      </c>
      <c r="N18" s="4"/>
    </row>
    <row r="19" spans="1:14" ht="15">
      <c r="A19" s="4" t="s">
        <v>224</v>
      </c>
      <c r="B19" s="21">
        <f t="shared" si="0"/>
        <v>31</v>
      </c>
      <c r="C19" s="4"/>
      <c r="D19" s="5"/>
      <c r="E19" s="4"/>
      <c r="F19" s="5">
        <v>2</v>
      </c>
      <c r="G19" s="5"/>
      <c r="H19" s="4"/>
      <c r="I19" s="5"/>
      <c r="J19" s="4"/>
      <c r="K19" s="4">
        <v>9</v>
      </c>
      <c r="L19" s="4"/>
      <c r="M19" s="4">
        <v>19</v>
      </c>
      <c r="N19" s="4">
        <v>1</v>
      </c>
    </row>
    <row r="20" spans="1:14" ht="15">
      <c r="A20" s="4" t="s">
        <v>225</v>
      </c>
      <c r="B20" s="21">
        <f t="shared" si="0"/>
        <v>226</v>
      </c>
      <c r="C20" s="4"/>
      <c r="D20" s="5"/>
      <c r="E20" s="4"/>
      <c r="F20" s="5">
        <v>52</v>
      </c>
      <c r="G20" s="5"/>
      <c r="H20" s="4"/>
      <c r="I20" s="5">
        <v>1</v>
      </c>
      <c r="J20" s="4"/>
      <c r="K20" s="4">
        <v>52</v>
      </c>
      <c r="L20" s="4">
        <v>8</v>
      </c>
      <c r="M20" s="4">
        <v>113</v>
      </c>
      <c r="N20" s="4"/>
    </row>
    <row r="21" spans="1:14" ht="15">
      <c r="A21" s="6" t="s">
        <v>226</v>
      </c>
      <c r="B21" s="5">
        <f t="shared" si="0"/>
        <v>136</v>
      </c>
      <c r="C21" s="4"/>
      <c r="D21" s="5"/>
      <c r="E21" s="4"/>
      <c r="F21" s="11">
        <v>7</v>
      </c>
      <c r="G21" s="4"/>
      <c r="H21" s="4"/>
      <c r="I21" s="4">
        <v>1</v>
      </c>
      <c r="J21" s="4"/>
      <c r="K21" s="4">
        <v>36</v>
      </c>
      <c r="L21" s="4"/>
      <c r="M21" s="4">
        <v>92</v>
      </c>
      <c r="N21" s="4"/>
    </row>
    <row r="22" spans="1:14" ht="15">
      <c r="A22" s="4" t="s">
        <v>227</v>
      </c>
      <c r="B22" s="5">
        <f t="shared" si="0"/>
        <v>1408</v>
      </c>
      <c r="C22" s="4">
        <v>23</v>
      </c>
      <c r="D22" s="5">
        <v>588</v>
      </c>
      <c r="E22" s="4"/>
      <c r="F22" s="5">
        <v>13</v>
      </c>
      <c r="G22" s="5"/>
      <c r="H22" s="4"/>
      <c r="I22" s="5"/>
      <c r="J22" s="4"/>
      <c r="K22" s="4">
        <v>43</v>
      </c>
      <c r="L22" s="4">
        <v>6</v>
      </c>
      <c r="M22" s="4">
        <v>481</v>
      </c>
      <c r="N22" s="4">
        <f>SUM(884-6-13-588-23)</f>
        <v>254</v>
      </c>
    </row>
    <row r="23" spans="1:14" ht="15">
      <c r="A23" s="4" t="s">
        <v>228</v>
      </c>
      <c r="B23" s="5">
        <f t="shared" si="0"/>
        <v>14</v>
      </c>
      <c r="C23" s="4"/>
      <c r="D23" s="5"/>
      <c r="E23" s="4"/>
      <c r="F23" s="5">
        <v>3</v>
      </c>
      <c r="G23" s="5"/>
      <c r="H23" s="4"/>
      <c r="I23" s="5"/>
      <c r="J23" s="4"/>
      <c r="K23" s="4">
        <v>4</v>
      </c>
      <c r="L23" s="4"/>
      <c r="M23" s="4">
        <v>7</v>
      </c>
      <c r="N23" s="4"/>
    </row>
    <row r="24" spans="1:14" ht="15">
      <c r="A24" s="4" t="s">
        <v>229</v>
      </c>
      <c r="B24" s="5">
        <f t="shared" si="0"/>
        <v>86</v>
      </c>
      <c r="C24" s="4"/>
      <c r="D24" s="5"/>
      <c r="E24" s="4"/>
      <c r="F24" s="5">
        <v>4</v>
      </c>
      <c r="G24" s="5"/>
      <c r="H24" s="4"/>
      <c r="I24" s="5">
        <v>2</v>
      </c>
      <c r="J24" s="4"/>
      <c r="K24" s="4">
        <v>26</v>
      </c>
      <c r="L24" s="4"/>
      <c r="M24" s="4">
        <v>54</v>
      </c>
      <c r="N24" s="4"/>
    </row>
    <row r="25" spans="1:14" ht="15">
      <c r="A25" s="4" t="s">
        <v>230</v>
      </c>
      <c r="B25" s="5">
        <f t="shared" si="0"/>
        <v>3098</v>
      </c>
      <c r="C25" s="4">
        <v>164</v>
      </c>
      <c r="D25" s="5">
        <v>112</v>
      </c>
      <c r="E25" s="4">
        <v>43</v>
      </c>
      <c r="F25" s="5">
        <v>503</v>
      </c>
      <c r="G25" s="5">
        <v>7</v>
      </c>
      <c r="H25" s="4">
        <v>59</v>
      </c>
      <c r="I25" s="5">
        <v>30</v>
      </c>
      <c r="J25" s="4">
        <v>13</v>
      </c>
      <c r="K25" s="4">
        <v>555</v>
      </c>
      <c r="L25" s="4">
        <v>32</v>
      </c>
      <c r="M25" s="4">
        <v>1483</v>
      </c>
      <c r="N25" s="4">
        <f>SUM(1060-32-13-30-59-7-503-43-112-164)</f>
        <v>97</v>
      </c>
    </row>
    <row r="26" spans="1:14" ht="15">
      <c r="A26" s="4" t="s">
        <v>231</v>
      </c>
      <c r="B26" s="5">
        <f>SUM(C26:F26)</f>
        <v>8</v>
      </c>
      <c r="C26" s="4"/>
      <c r="D26" s="5">
        <v>1</v>
      </c>
      <c r="E26" s="4"/>
      <c r="F26" s="5">
        <v>7</v>
      </c>
      <c r="G26" s="5"/>
      <c r="H26" s="4"/>
      <c r="I26" s="5"/>
      <c r="J26" s="4"/>
      <c r="K26" s="4">
        <v>16</v>
      </c>
      <c r="L26" s="4"/>
      <c r="M26" s="4">
        <v>23</v>
      </c>
      <c r="N26" s="4"/>
    </row>
    <row r="27" spans="1:14" ht="15">
      <c r="A27" s="4" t="s">
        <v>118</v>
      </c>
      <c r="B27" s="5">
        <f aca="true" t="shared" si="1" ref="B27:B34">SUM(C27:N27)</f>
        <v>104</v>
      </c>
      <c r="C27" s="4">
        <v>1</v>
      </c>
      <c r="D27" s="5"/>
      <c r="E27" s="4"/>
      <c r="F27" s="5">
        <v>13</v>
      </c>
      <c r="G27" s="5"/>
      <c r="H27" s="4"/>
      <c r="I27" s="5"/>
      <c r="J27" s="4"/>
      <c r="K27" s="4">
        <v>30</v>
      </c>
      <c r="L27" s="4"/>
      <c r="M27" s="4">
        <v>60</v>
      </c>
      <c r="N27" s="4"/>
    </row>
    <row r="28" spans="1:14" ht="15">
      <c r="A28" s="4" t="s">
        <v>232</v>
      </c>
      <c r="B28" s="5">
        <f t="shared" si="1"/>
        <v>77</v>
      </c>
      <c r="C28" s="4"/>
      <c r="D28" s="5"/>
      <c r="E28" s="4"/>
      <c r="F28" s="5">
        <v>46</v>
      </c>
      <c r="G28" s="5"/>
      <c r="H28" s="4"/>
      <c r="I28" s="5"/>
      <c r="J28" s="4"/>
      <c r="K28" s="4">
        <v>13</v>
      </c>
      <c r="L28" s="4"/>
      <c r="M28" s="4">
        <v>18</v>
      </c>
      <c r="N28" s="4"/>
    </row>
    <row r="29" spans="1:14" ht="15">
      <c r="A29" s="4" t="s">
        <v>233</v>
      </c>
      <c r="B29" s="5">
        <f t="shared" si="1"/>
        <v>30</v>
      </c>
      <c r="C29" s="4"/>
      <c r="D29" s="5"/>
      <c r="E29" s="4"/>
      <c r="F29" s="5">
        <v>4</v>
      </c>
      <c r="G29" s="5"/>
      <c r="H29" s="4"/>
      <c r="I29" s="5"/>
      <c r="J29" s="4"/>
      <c r="K29" s="4">
        <v>8</v>
      </c>
      <c r="L29" s="4"/>
      <c r="M29" s="4">
        <v>18</v>
      </c>
      <c r="N29" s="4"/>
    </row>
    <row r="30" spans="1:14" ht="15">
      <c r="A30" s="4" t="s">
        <v>234</v>
      </c>
      <c r="B30" s="5">
        <f t="shared" si="1"/>
        <v>49</v>
      </c>
      <c r="C30" s="4"/>
      <c r="D30" s="5"/>
      <c r="E30" s="4"/>
      <c r="F30" s="5">
        <v>1</v>
      </c>
      <c r="G30" s="5"/>
      <c r="H30" s="4"/>
      <c r="I30" s="5"/>
      <c r="J30" s="4"/>
      <c r="K30" s="4">
        <v>15</v>
      </c>
      <c r="L30" s="4"/>
      <c r="M30" s="4">
        <v>33</v>
      </c>
      <c r="N30" s="4"/>
    </row>
    <row r="31" spans="1:14" ht="15">
      <c r="A31" s="4" t="s">
        <v>235</v>
      </c>
      <c r="B31" s="5">
        <f t="shared" si="1"/>
        <v>1982</v>
      </c>
      <c r="C31" s="4">
        <v>523</v>
      </c>
      <c r="D31" s="5"/>
      <c r="E31" s="4">
        <v>14</v>
      </c>
      <c r="F31" s="5">
        <v>98</v>
      </c>
      <c r="G31" s="5">
        <v>1</v>
      </c>
      <c r="H31" s="4">
        <v>43</v>
      </c>
      <c r="I31" s="5">
        <v>8</v>
      </c>
      <c r="J31" s="4">
        <v>1</v>
      </c>
      <c r="K31" s="4">
        <v>319</v>
      </c>
      <c r="L31" s="4">
        <v>26</v>
      </c>
      <c r="M31" s="4">
        <v>939</v>
      </c>
      <c r="N31" s="4">
        <f>SUM(724-26-1-8-43-1-98-14-523)</f>
        <v>10</v>
      </c>
    </row>
    <row r="32" spans="1:14" ht="15">
      <c r="A32" s="4" t="s">
        <v>236</v>
      </c>
      <c r="B32" s="5">
        <f t="shared" si="1"/>
        <v>63</v>
      </c>
      <c r="C32" s="4"/>
      <c r="D32" s="5"/>
      <c r="E32" s="4"/>
      <c r="F32" s="5">
        <v>5</v>
      </c>
      <c r="G32" s="5"/>
      <c r="H32" s="4"/>
      <c r="I32" s="5"/>
      <c r="J32" s="4"/>
      <c r="K32" s="4">
        <v>19</v>
      </c>
      <c r="L32" s="4"/>
      <c r="M32" s="4">
        <v>39</v>
      </c>
      <c r="N32" s="4"/>
    </row>
    <row r="33" spans="1:14" ht="15">
      <c r="A33" s="4" t="s">
        <v>237</v>
      </c>
      <c r="B33" s="5">
        <f t="shared" si="1"/>
        <v>25</v>
      </c>
      <c r="C33" s="4"/>
      <c r="D33" s="5"/>
      <c r="E33" s="4"/>
      <c r="F33" s="5">
        <v>1</v>
      </c>
      <c r="G33" s="5"/>
      <c r="H33" s="4"/>
      <c r="I33" s="5"/>
      <c r="J33" s="4"/>
      <c r="K33" s="4">
        <v>9</v>
      </c>
      <c r="L33" s="4"/>
      <c r="M33" s="4">
        <v>14</v>
      </c>
      <c r="N33" s="4">
        <v>1</v>
      </c>
    </row>
    <row r="34" spans="1:14" ht="15">
      <c r="A34" s="4" t="s">
        <v>238</v>
      </c>
      <c r="B34" s="5">
        <f t="shared" si="1"/>
        <v>139</v>
      </c>
      <c r="C34" s="4"/>
      <c r="D34" s="5"/>
      <c r="E34" s="4"/>
      <c r="F34" s="5">
        <v>11</v>
      </c>
      <c r="G34" s="5"/>
      <c r="H34" s="4"/>
      <c r="I34" s="5"/>
      <c r="J34" s="4"/>
      <c r="K34" s="4">
        <v>38</v>
      </c>
      <c r="L34" s="4"/>
      <c r="M34" s="4">
        <v>89</v>
      </c>
      <c r="N34" s="4">
        <v>1</v>
      </c>
    </row>
    <row r="35" spans="1:14" ht="15">
      <c r="A35" s="4"/>
      <c r="B35" s="5"/>
      <c r="C35" s="4"/>
      <c r="D35" s="5"/>
      <c r="E35" s="4"/>
      <c r="F35" s="5"/>
      <c r="G35" s="5"/>
      <c r="H35" s="4"/>
      <c r="I35" s="5"/>
      <c r="J35" s="4"/>
      <c r="K35" s="4"/>
      <c r="L35" s="4"/>
      <c r="M35" s="4"/>
      <c r="N35" s="4"/>
    </row>
    <row r="36" spans="1:14" ht="15">
      <c r="A36" s="4" t="s">
        <v>9</v>
      </c>
      <c r="B36" s="5">
        <f>SUM(B9:B34)</f>
        <v>8231</v>
      </c>
      <c r="C36" s="4"/>
      <c r="D36" s="5"/>
      <c r="E36" s="4"/>
      <c r="F36" s="5"/>
      <c r="G36" s="5"/>
      <c r="H36" s="4"/>
      <c r="I36" s="5"/>
      <c r="J36" s="4"/>
      <c r="K36" s="4"/>
      <c r="L36" s="4"/>
      <c r="M36" s="4"/>
      <c r="N36" s="4"/>
    </row>
    <row r="38" ht="15">
      <c r="B38" s="2" t="s">
        <v>312</v>
      </c>
    </row>
    <row r="40" ht="15">
      <c r="B40" s="2" t="s">
        <v>313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75" right="0.75" top="1" bottom="1" header="0.5" footer="0.5"/>
  <pageSetup horizontalDpi="600" verticalDpi="600" orientation="landscape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6"/>
  <sheetViews>
    <sheetView defaultGridColor="0" zoomScalePageLayoutView="0" colorId="8" workbookViewId="0" topLeftCell="A1">
      <selection activeCell="C10" sqref="C10:J10"/>
    </sheetView>
  </sheetViews>
  <sheetFormatPr defaultColWidth="8.88671875" defaultRowHeight="15"/>
  <cols>
    <col min="1" max="1" width="7.88671875" style="0" customWidth="1"/>
    <col min="2" max="2" width="8.10546875" style="0" customWidth="1"/>
    <col min="3" max="3" width="6.88671875" style="0" customWidth="1"/>
    <col min="4" max="4" width="8.10546875" style="0" customWidth="1"/>
    <col min="5" max="5" width="5.5546875" style="0" customWidth="1"/>
    <col min="6" max="6" width="4.99609375" style="0" customWidth="1"/>
    <col min="7" max="7" width="5.88671875" style="0" customWidth="1"/>
    <col min="8" max="8" width="6.3359375" style="0" customWidth="1"/>
    <col min="9" max="9" width="7.6640625" style="0" customWidth="1"/>
    <col min="10" max="10" width="5.6640625" style="0" customWidth="1"/>
    <col min="11" max="11" width="6.6640625" style="0" customWidth="1"/>
    <col min="12" max="13" width="8.4453125" style="0" customWidth="1"/>
    <col min="14" max="14" width="5.21484375" style="0" customWidth="1"/>
  </cols>
  <sheetData>
    <row r="1" spans="1:14" ht="18.75" customHeight="1">
      <c r="A1" s="36" t="s">
        <v>241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8.75" customHeight="1">
      <c r="A2" s="36" t="s">
        <v>311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ht="18.75">
      <c r="A3" s="1"/>
    </row>
    <row r="4" spans="1:14" ht="15">
      <c r="A4" s="34" t="s">
        <v>335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5">
      <c r="A5" s="34" t="s">
        <v>20</v>
      </c>
      <c r="B5" s="35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5">
      <c r="A6" s="34" t="s">
        <v>19</v>
      </c>
      <c r="B6" s="3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ht="15">
      <c r="B7" s="8"/>
    </row>
    <row r="9" spans="1:14" ht="22.5">
      <c r="A9" s="3" t="s">
        <v>10</v>
      </c>
      <c r="B9" s="9" t="s">
        <v>0</v>
      </c>
      <c r="C9" s="9" t="s">
        <v>309</v>
      </c>
      <c r="D9" s="9" t="s">
        <v>1</v>
      </c>
      <c r="E9" s="3" t="s">
        <v>2</v>
      </c>
      <c r="F9" s="9" t="s">
        <v>11</v>
      </c>
      <c r="G9" s="3" t="s">
        <v>3</v>
      </c>
      <c r="H9" s="3" t="s">
        <v>4</v>
      </c>
      <c r="I9" s="3" t="s">
        <v>5</v>
      </c>
      <c r="J9" s="3" t="s">
        <v>6</v>
      </c>
      <c r="K9" s="3" t="s">
        <v>310</v>
      </c>
      <c r="L9" s="9" t="s">
        <v>7</v>
      </c>
      <c r="M9" s="9" t="s">
        <v>305</v>
      </c>
      <c r="N9" s="3" t="s">
        <v>8</v>
      </c>
    </row>
    <row r="10" spans="1:14" ht="15">
      <c r="A10" s="4" t="s">
        <v>240</v>
      </c>
      <c r="B10" s="5">
        <f>SUM(C10:N10)</f>
        <v>59768</v>
      </c>
      <c r="C10" s="4">
        <f>SUM(20487+919)</f>
        <v>21406</v>
      </c>
      <c r="D10" s="5">
        <v>3190</v>
      </c>
      <c r="E10" s="4">
        <v>309</v>
      </c>
      <c r="F10" s="5">
        <v>71</v>
      </c>
      <c r="G10" s="5">
        <v>105</v>
      </c>
      <c r="H10" s="4">
        <v>156</v>
      </c>
      <c r="I10" s="5">
        <v>64</v>
      </c>
      <c r="J10" s="4">
        <v>59</v>
      </c>
      <c r="K10" s="4">
        <v>3060</v>
      </c>
      <c r="L10" s="4">
        <v>304</v>
      </c>
      <c r="M10" s="4">
        <v>30213</v>
      </c>
      <c r="N10" s="4">
        <f>SUM(26495-304-59-64-156-105-71-309-3190-21406)</f>
        <v>831</v>
      </c>
    </row>
    <row r="11" spans="1:14" ht="15">
      <c r="A11" s="4"/>
      <c r="B11" s="5"/>
      <c r="C11" s="4"/>
      <c r="D11" s="5"/>
      <c r="E11" s="4"/>
      <c r="F11" s="5"/>
      <c r="G11" s="5"/>
      <c r="H11" s="4"/>
      <c r="I11" s="5"/>
      <c r="J11" s="4"/>
      <c r="K11" s="4"/>
      <c r="L11" s="4"/>
      <c r="M11" s="4"/>
      <c r="N11" s="4"/>
    </row>
    <row r="12" spans="1:14" ht="15">
      <c r="A12" s="4" t="s">
        <v>9</v>
      </c>
      <c r="B12" s="5">
        <f>SUM(B10:B11)</f>
        <v>59768</v>
      </c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</row>
    <row r="14" ht="15">
      <c r="B14" s="2" t="s">
        <v>312</v>
      </c>
    </row>
    <row r="16" ht="15">
      <c r="B16" s="2" t="s">
        <v>313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75" right="0.75" top="1" bottom="1" header="0.5" footer="0.5"/>
  <pageSetup horizontalDpi="600" verticalDpi="600" orientation="landscape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2"/>
  <sheetViews>
    <sheetView defaultGridColor="0" zoomScalePageLayoutView="0" colorId="8" workbookViewId="0" topLeftCell="A1">
      <selection activeCell="C16" sqref="C16:N16"/>
    </sheetView>
  </sheetViews>
  <sheetFormatPr defaultColWidth="8.88671875" defaultRowHeight="15"/>
  <cols>
    <col min="1" max="1" width="8.77734375" style="0" customWidth="1"/>
    <col min="2" max="2" width="7.88671875" style="0" customWidth="1"/>
    <col min="3" max="4" width="7.77734375" style="0" customWidth="1"/>
    <col min="5" max="5" width="5.99609375" style="0" customWidth="1"/>
    <col min="6" max="6" width="5.21484375" style="0" customWidth="1"/>
    <col min="7" max="7" width="6.5546875" style="0" customWidth="1"/>
    <col min="8" max="8" width="6.3359375" style="0" customWidth="1"/>
    <col min="9" max="9" width="8.3359375" style="0" customWidth="1"/>
    <col min="10" max="10" width="5.6640625" style="0" customWidth="1"/>
    <col min="11" max="11" width="6.5546875" style="0" customWidth="1"/>
    <col min="12" max="13" width="7.5546875" style="0" customWidth="1"/>
    <col min="14" max="14" width="6.3359375" style="0" customWidth="1"/>
  </cols>
  <sheetData>
    <row r="1" spans="1:14" ht="18.75" customHeight="1">
      <c r="A1" s="36" t="s">
        <v>245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8.75" customHeight="1">
      <c r="A2" s="36" t="s">
        <v>311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ht="18.75">
      <c r="A3" s="1"/>
    </row>
    <row r="4" spans="1:14" ht="15">
      <c r="A4" s="34" t="s">
        <v>336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5">
      <c r="A5" s="34" t="s">
        <v>20</v>
      </c>
      <c r="B5" s="35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5">
      <c r="A6" s="34" t="s">
        <v>19</v>
      </c>
      <c r="B6" s="3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8" spans="1:14" ht="22.5">
      <c r="A8" s="3" t="s">
        <v>10</v>
      </c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310</v>
      </c>
      <c r="L8" s="9" t="s">
        <v>7</v>
      </c>
      <c r="M8" s="9" t="s">
        <v>305</v>
      </c>
      <c r="N8" s="3" t="s">
        <v>8</v>
      </c>
    </row>
    <row r="9" spans="1:14" ht="15">
      <c r="A9" s="4" t="s">
        <v>247</v>
      </c>
      <c r="B9" s="5">
        <f aca="true" t="shared" si="0" ref="B9:B16">SUM(C9:N9)</f>
        <v>431</v>
      </c>
      <c r="C9" s="4"/>
      <c r="D9" s="5"/>
      <c r="E9" s="4"/>
      <c r="F9" s="5">
        <v>2</v>
      </c>
      <c r="G9" s="5"/>
      <c r="H9" s="4"/>
      <c r="I9" s="5"/>
      <c r="J9" s="4"/>
      <c r="K9" s="4">
        <v>13</v>
      </c>
      <c r="L9" s="4"/>
      <c r="M9" s="4">
        <v>415</v>
      </c>
      <c r="N9" s="4">
        <v>1</v>
      </c>
    </row>
    <row r="10" spans="1:14" ht="15">
      <c r="A10" s="4" t="s">
        <v>240</v>
      </c>
      <c r="B10" s="5">
        <f t="shared" si="0"/>
        <v>59768</v>
      </c>
      <c r="C10" s="4">
        <f>SUM(20487+919)</f>
        <v>21406</v>
      </c>
      <c r="D10" s="5">
        <v>3190</v>
      </c>
      <c r="E10" s="4">
        <v>309</v>
      </c>
      <c r="F10" s="5">
        <v>71</v>
      </c>
      <c r="G10" s="5">
        <v>105</v>
      </c>
      <c r="H10" s="4">
        <v>156</v>
      </c>
      <c r="I10" s="5">
        <v>64</v>
      </c>
      <c r="J10" s="4">
        <v>59</v>
      </c>
      <c r="K10" s="4">
        <v>3060</v>
      </c>
      <c r="L10" s="4">
        <v>304</v>
      </c>
      <c r="M10" s="4">
        <v>30213</v>
      </c>
      <c r="N10" s="4">
        <f>SUM(26495-304-59-64-156-105-71-309-3190-21406)</f>
        <v>831</v>
      </c>
    </row>
    <row r="11" spans="1:14" ht="15">
      <c r="A11" s="4" t="s">
        <v>242</v>
      </c>
      <c r="B11" s="5">
        <f t="shared" si="0"/>
        <v>203</v>
      </c>
      <c r="C11" s="4">
        <v>3</v>
      </c>
      <c r="D11" s="5"/>
      <c r="E11" s="4"/>
      <c r="F11" s="5">
        <v>4</v>
      </c>
      <c r="G11" s="5">
        <v>58</v>
      </c>
      <c r="H11" s="4"/>
      <c r="I11" s="5"/>
      <c r="J11" s="4"/>
      <c r="K11" s="4">
        <v>16</v>
      </c>
      <c r="L11" s="4"/>
      <c r="M11" s="4">
        <v>122</v>
      </c>
      <c r="N11" s="4"/>
    </row>
    <row r="12" spans="1:14" ht="15">
      <c r="A12" s="4" t="s">
        <v>243</v>
      </c>
      <c r="B12" s="5">
        <f t="shared" si="0"/>
        <v>1939</v>
      </c>
      <c r="C12" s="4">
        <v>15</v>
      </c>
      <c r="D12" s="5">
        <v>1</v>
      </c>
      <c r="E12" s="4"/>
      <c r="F12" s="5">
        <v>5</v>
      </c>
      <c r="G12" s="5"/>
      <c r="H12" s="4"/>
      <c r="I12" s="5">
        <v>4</v>
      </c>
      <c r="J12" s="4"/>
      <c r="K12" s="4">
        <v>122</v>
      </c>
      <c r="L12" s="4"/>
      <c r="M12" s="4">
        <v>1782</v>
      </c>
      <c r="N12" s="4">
        <v>10</v>
      </c>
    </row>
    <row r="13" spans="1:14" ht="15">
      <c r="A13" s="4" t="s">
        <v>255</v>
      </c>
      <c r="B13" s="5">
        <f t="shared" si="0"/>
        <v>634</v>
      </c>
      <c r="C13" s="4">
        <v>1</v>
      </c>
      <c r="D13" s="5">
        <v>1</v>
      </c>
      <c r="E13" s="4"/>
      <c r="F13" s="5">
        <v>6</v>
      </c>
      <c r="G13" s="5"/>
      <c r="H13" s="4">
        <v>1</v>
      </c>
      <c r="I13" s="5"/>
      <c r="J13" s="4"/>
      <c r="K13" s="4">
        <v>53</v>
      </c>
      <c r="L13" s="4"/>
      <c r="M13" s="4">
        <v>571</v>
      </c>
      <c r="N13" s="4">
        <v>1</v>
      </c>
    </row>
    <row r="14" spans="1:14" ht="15">
      <c r="A14" s="4" t="s">
        <v>256</v>
      </c>
      <c r="B14" s="5">
        <f t="shared" si="0"/>
        <v>1665</v>
      </c>
      <c r="C14" s="4">
        <v>4</v>
      </c>
      <c r="D14" s="5">
        <v>421</v>
      </c>
      <c r="E14" s="4"/>
      <c r="F14" s="5">
        <v>52</v>
      </c>
      <c r="G14" s="5"/>
      <c r="H14" s="4"/>
      <c r="I14" s="5">
        <v>1</v>
      </c>
      <c r="J14" s="4"/>
      <c r="K14" s="4">
        <v>67</v>
      </c>
      <c r="L14" s="4">
        <v>13</v>
      </c>
      <c r="M14" s="4">
        <v>1106</v>
      </c>
      <c r="N14" s="4">
        <f>SUM(492-13-1-52-421-4)</f>
        <v>1</v>
      </c>
    </row>
    <row r="15" spans="1:14" ht="15">
      <c r="A15" s="4" t="s">
        <v>262</v>
      </c>
      <c r="B15" s="5">
        <f t="shared" si="0"/>
        <v>58</v>
      </c>
      <c r="C15" s="4">
        <v>1</v>
      </c>
      <c r="D15" s="5"/>
      <c r="E15" s="4"/>
      <c r="F15" s="5">
        <v>1</v>
      </c>
      <c r="G15" s="5"/>
      <c r="H15" s="4"/>
      <c r="I15" s="5"/>
      <c r="J15" s="4"/>
      <c r="K15" s="4">
        <v>6</v>
      </c>
      <c r="L15" s="4"/>
      <c r="M15" s="4">
        <v>50</v>
      </c>
      <c r="N15" s="4"/>
    </row>
    <row r="16" spans="1:14" ht="15">
      <c r="A16" s="4" t="s">
        <v>93</v>
      </c>
      <c r="B16" s="5">
        <f t="shared" si="0"/>
        <v>15161</v>
      </c>
      <c r="C16" s="4">
        <f>SUM(557+401)</f>
        <v>958</v>
      </c>
      <c r="D16" s="5">
        <v>1330</v>
      </c>
      <c r="E16" s="4">
        <v>5478</v>
      </c>
      <c r="F16" s="5">
        <v>90</v>
      </c>
      <c r="G16" s="5">
        <v>107</v>
      </c>
      <c r="H16" s="4">
        <v>137</v>
      </c>
      <c r="I16" s="5">
        <v>48</v>
      </c>
      <c r="J16" s="4">
        <v>28</v>
      </c>
      <c r="K16" s="4">
        <v>1223</v>
      </c>
      <c r="L16" s="4">
        <v>77</v>
      </c>
      <c r="M16" s="4">
        <v>5322</v>
      </c>
      <c r="N16" s="4">
        <f>SUM(8616-77-28-48-137-107-90-5478-1330-958)</f>
        <v>363</v>
      </c>
    </row>
    <row r="17" spans="1:14" ht="13.5" customHeight="1">
      <c r="A17" s="4"/>
      <c r="B17" s="5"/>
      <c r="C17" s="4"/>
      <c r="D17" s="5"/>
      <c r="E17" s="4"/>
      <c r="F17" s="5"/>
      <c r="G17" s="5"/>
      <c r="H17" s="4"/>
      <c r="I17" s="5"/>
      <c r="J17" s="4"/>
      <c r="K17" s="4"/>
      <c r="L17" s="4"/>
      <c r="M17" s="4"/>
      <c r="N17" s="4"/>
    </row>
    <row r="18" spans="1:14" ht="15">
      <c r="A18" s="4" t="s">
        <v>9</v>
      </c>
      <c r="B18" s="5">
        <f>SUM(B9:B16)</f>
        <v>79859</v>
      </c>
      <c r="C18" s="4"/>
      <c r="D18" s="5"/>
      <c r="E18" s="4"/>
      <c r="F18" s="5"/>
      <c r="G18" s="5"/>
      <c r="H18" s="4"/>
      <c r="I18" s="5"/>
      <c r="J18" s="4"/>
      <c r="K18" s="4"/>
      <c r="L18" s="4"/>
      <c r="M18" s="4"/>
      <c r="N18" s="4"/>
    </row>
    <row r="20" ht="15">
      <c r="B20" s="2" t="s">
        <v>312</v>
      </c>
    </row>
    <row r="22" ht="15">
      <c r="B22" s="2" t="s">
        <v>313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75" right="0.75" top="1" bottom="1" header="0.5" footer="0.5"/>
  <pageSetup horizontalDpi="600" verticalDpi="600" orientation="landscape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8"/>
  <sheetViews>
    <sheetView defaultGridColor="0" zoomScalePageLayoutView="0" colorId="8" workbookViewId="0" topLeftCell="A1">
      <selection activeCell="B14" sqref="B14"/>
    </sheetView>
  </sheetViews>
  <sheetFormatPr defaultColWidth="8.88671875" defaultRowHeight="15"/>
  <cols>
    <col min="1" max="1" width="10.21484375" style="0" customWidth="1"/>
    <col min="2" max="2" width="8.5546875" style="0" customWidth="1"/>
    <col min="3" max="3" width="7.21484375" style="0" customWidth="1"/>
    <col min="4" max="4" width="7.10546875" style="0" customWidth="1"/>
    <col min="5" max="5" width="5.3359375" style="0" customWidth="1"/>
    <col min="6" max="6" width="4.99609375" style="0" customWidth="1"/>
    <col min="7" max="8" width="6.3359375" style="0" customWidth="1"/>
    <col min="9" max="9" width="7.88671875" style="0" customWidth="1"/>
    <col min="10" max="10" width="5.6640625" style="0" customWidth="1"/>
    <col min="11" max="11" width="5.21484375" style="0" customWidth="1"/>
    <col min="12" max="12" width="6.4453125" style="0" customWidth="1"/>
    <col min="13" max="15" width="6.77734375" style="0" customWidth="1"/>
    <col min="16" max="16" width="4.99609375" style="0" customWidth="1"/>
  </cols>
  <sheetData>
    <row r="1" spans="1:16" ht="18.75" customHeight="1">
      <c r="A1" s="36" t="s">
        <v>246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8.75" customHeight="1">
      <c r="A2" s="36" t="s">
        <v>311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ht="18.75">
      <c r="A3" s="1"/>
    </row>
    <row r="4" spans="1:16" ht="15">
      <c r="A4" s="34" t="s">
        <v>337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">
      <c r="A5" s="34" t="s">
        <v>20</v>
      </c>
      <c r="B5" s="35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">
      <c r="A6" s="34" t="s">
        <v>19</v>
      </c>
      <c r="B6" s="3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8" spans="1:16" ht="22.5">
      <c r="A8" s="3" t="s">
        <v>10</v>
      </c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13</v>
      </c>
      <c r="L8" s="9" t="s">
        <v>314</v>
      </c>
      <c r="M8" s="3" t="s">
        <v>310</v>
      </c>
      <c r="N8" s="9" t="s">
        <v>7</v>
      </c>
      <c r="O8" s="9" t="s">
        <v>305</v>
      </c>
      <c r="P8" s="3" t="s">
        <v>8</v>
      </c>
    </row>
    <row r="9" spans="1:16" ht="15">
      <c r="A9" s="4" t="s">
        <v>180</v>
      </c>
      <c r="B9" s="5">
        <f>SUM(C9:P9)</f>
        <v>1545</v>
      </c>
      <c r="C9" s="4">
        <v>32</v>
      </c>
      <c r="D9" s="5"/>
      <c r="E9" s="4"/>
      <c r="F9" s="5">
        <v>8</v>
      </c>
      <c r="G9" s="5">
        <v>53</v>
      </c>
      <c r="H9" s="4">
        <v>1</v>
      </c>
      <c r="I9" s="5">
        <v>6</v>
      </c>
      <c r="J9" s="4"/>
      <c r="K9" s="4"/>
      <c r="L9" s="4">
        <v>4</v>
      </c>
      <c r="M9" s="4">
        <v>383</v>
      </c>
      <c r="N9" s="4">
        <v>28</v>
      </c>
      <c r="O9" s="4">
        <v>1017</v>
      </c>
      <c r="P9" s="4">
        <f>SUM(145-28-4-6-1-53-8-32)</f>
        <v>13</v>
      </c>
    </row>
    <row r="10" spans="1:16" ht="15">
      <c r="A10" s="4" t="s">
        <v>87</v>
      </c>
      <c r="B10" s="5">
        <f>SUM(C10:P10)</f>
        <v>2667</v>
      </c>
      <c r="C10" s="4">
        <v>189</v>
      </c>
      <c r="D10" s="5">
        <v>18</v>
      </c>
      <c r="E10" s="4">
        <v>1</v>
      </c>
      <c r="F10" s="5">
        <v>15</v>
      </c>
      <c r="G10" s="5"/>
      <c r="H10" s="4">
        <v>3</v>
      </c>
      <c r="I10" s="5">
        <v>19</v>
      </c>
      <c r="J10" s="4"/>
      <c r="K10" s="4"/>
      <c r="L10" s="4"/>
      <c r="M10" s="4">
        <v>490</v>
      </c>
      <c r="N10" s="4"/>
      <c r="O10" s="4">
        <v>1775</v>
      </c>
      <c r="P10" s="4">
        <f>SUM(402-19-3-15-1-18-189)</f>
        <v>157</v>
      </c>
    </row>
    <row r="11" spans="1:16" ht="15">
      <c r="A11" s="4" t="s">
        <v>183</v>
      </c>
      <c r="B11" s="5">
        <f>SUM(C11:P11)</f>
        <v>2626</v>
      </c>
      <c r="C11" s="4">
        <f>SUM(294+68)</f>
        <v>362</v>
      </c>
      <c r="D11" s="5">
        <v>24</v>
      </c>
      <c r="E11" s="4"/>
      <c r="F11" s="5">
        <v>38</v>
      </c>
      <c r="G11" s="5"/>
      <c r="H11" s="4"/>
      <c r="I11" s="5">
        <v>79</v>
      </c>
      <c r="J11" s="4"/>
      <c r="K11" s="4"/>
      <c r="L11" s="4"/>
      <c r="M11" s="4">
        <v>400</v>
      </c>
      <c r="N11" s="4">
        <v>27</v>
      </c>
      <c r="O11" s="4">
        <v>1614</v>
      </c>
      <c r="P11" s="4">
        <f>SUM(612-27-79-38-24-362)</f>
        <v>82</v>
      </c>
    </row>
    <row r="12" spans="1:16" ht="15">
      <c r="A12" s="4" t="s">
        <v>42</v>
      </c>
      <c r="B12" s="5">
        <f>SUM(C12:P12)</f>
        <v>37269</v>
      </c>
      <c r="C12" s="4">
        <f>SUM(746+3079)</f>
        <v>3825</v>
      </c>
      <c r="D12" s="5">
        <v>4281</v>
      </c>
      <c r="E12" s="4">
        <v>1256</v>
      </c>
      <c r="F12" s="5">
        <v>104</v>
      </c>
      <c r="G12" s="5">
        <v>124</v>
      </c>
      <c r="H12" s="4">
        <v>993</v>
      </c>
      <c r="I12" s="5">
        <v>143</v>
      </c>
      <c r="J12" s="4">
        <v>135</v>
      </c>
      <c r="K12" s="4">
        <v>3318</v>
      </c>
      <c r="L12" s="4">
        <v>56</v>
      </c>
      <c r="M12" s="4">
        <v>8378</v>
      </c>
      <c r="N12" s="4">
        <v>631</v>
      </c>
      <c r="O12" s="4">
        <v>12053</v>
      </c>
      <c r="P12" s="4">
        <f>SUM(16838-631-56-3318-135-143-993-124-104-1256-4281-3825)</f>
        <v>1972</v>
      </c>
    </row>
    <row r="13" spans="1:16" ht="15">
      <c r="A13" s="4"/>
      <c r="B13" s="5"/>
      <c r="C13" s="4"/>
      <c r="D13" s="5"/>
      <c r="E13" s="4"/>
      <c r="F13" s="5"/>
      <c r="G13" s="5"/>
      <c r="H13" s="4"/>
      <c r="I13" s="5"/>
      <c r="J13" s="4"/>
      <c r="K13" s="4"/>
      <c r="L13" s="4"/>
      <c r="M13" s="4"/>
      <c r="N13" s="4"/>
      <c r="O13" s="4"/>
      <c r="P13" s="4"/>
    </row>
    <row r="14" spans="1:16" ht="15" customHeight="1">
      <c r="A14" s="4" t="s">
        <v>9</v>
      </c>
      <c r="B14" s="5">
        <f>SUM(B9:B12)</f>
        <v>44107</v>
      </c>
      <c r="C14" s="4"/>
      <c r="D14" s="5"/>
      <c r="E14" s="4"/>
      <c r="F14" s="5"/>
      <c r="G14" s="5"/>
      <c r="H14" s="4"/>
      <c r="I14" s="5"/>
      <c r="J14" s="4"/>
      <c r="K14" s="4"/>
      <c r="L14" s="4"/>
      <c r="M14" s="4"/>
      <c r="N14" s="4"/>
      <c r="O14" s="4"/>
      <c r="P14" s="4"/>
    </row>
    <row r="15" spans="1:11" ht="15">
      <c r="A15" s="12"/>
      <c r="B15" s="13"/>
      <c r="C15" s="13"/>
      <c r="D15" s="12"/>
      <c r="E15" s="13"/>
      <c r="F15" s="13"/>
      <c r="G15" s="12"/>
      <c r="H15" s="13"/>
      <c r="I15" s="12"/>
      <c r="J15" s="12"/>
      <c r="K15" s="12"/>
    </row>
    <row r="16" ht="15">
      <c r="B16" s="2" t="s">
        <v>312</v>
      </c>
    </row>
    <row r="18" ht="15">
      <c r="B18" s="2" t="s">
        <v>313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4"/>
  <sheetViews>
    <sheetView defaultGridColor="0" zoomScalePageLayoutView="0" colorId="8" workbookViewId="0" topLeftCell="A1">
      <selection activeCell="M9" sqref="M9:P9"/>
    </sheetView>
  </sheetViews>
  <sheetFormatPr defaultColWidth="8.88671875" defaultRowHeight="15"/>
  <cols>
    <col min="1" max="1" width="10.21484375" style="0" customWidth="1"/>
    <col min="2" max="2" width="8.4453125" style="0" customWidth="1"/>
    <col min="3" max="4" width="7.4453125" style="0" customWidth="1"/>
    <col min="5" max="5" width="5.21484375" style="0" customWidth="1"/>
    <col min="6" max="6" width="5.88671875" style="0" customWidth="1"/>
    <col min="7" max="7" width="6.4453125" style="0" customWidth="1"/>
    <col min="8" max="8" width="6.10546875" style="0" customWidth="1"/>
    <col min="9" max="9" width="7.77734375" style="0" customWidth="1"/>
    <col min="10" max="10" width="6.10546875" style="0" customWidth="1"/>
    <col min="11" max="11" width="5.3359375" style="0" customWidth="1"/>
    <col min="12" max="12" width="4.21484375" style="0" customWidth="1"/>
    <col min="13" max="13" width="6.21484375" style="0" customWidth="1"/>
    <col min="14" max="14" width="7.6640625" style="0" customWidth="1"/>
    <col min="15" max="15" width="6.4453125" style="0" customWidth="1"/>
    <col min="16" max="16" width="5.10546875" style="0" customWidth="1"/>
  </cols>
  <sheetData>
    <row r="1" spans="1:16" ht="18.75" customHeight="1">
      <c r="A1" s="36" t="s">
        <v>269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8.75" customHeight="1">
      <c r="A2" s="36" t="s">
        <v>311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ht="18.75">
      <c r="A3" s="1"/>
    </row>
    <row r="4" spans="1:16" ht="15">
      <c r="A4" s="34" t="s">
        <v>338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">
      <c r="A5" s="34" t="s">
        <v>20</v>
      </c>
      <c r="B5" s="35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">
      <c r="A6" s="34" t="s">
        <v>19</v>
      </c>
      <c r="B6" s="3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8" spans="1:16" ht="22.5">
      <c r="A8" s="3" t="s">
        <v>10</v>
      </c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13</v>
      </c>
      <c r="L8" s="3" t="s">
        <v>14</v>
      </c>
      <c r="M8" s="3" t="s">
        <v>310</v>
      </c>
      <c r="N8" s="9" t="s">
        <v>7</v>
      </c>
      <c r="O8" s="9" t="s">
        <v>305</v>
      </c>
      <c r="P8" s="3" t="s">
        <v>8</v>
      </c>
    </row>
    <row r="9" spans="1:16" ht="15">
      <c r="A9" s="4" t="s">
        <v>240</v>
      </c>
      <c r="B9" s="5">
        <f aca="true" t="shared" si="0" ref="B9:B28">SUM(C9:P9)</f>
        <v>59768</v>
      </c>
      <c r="C9" s="4">
        <f>SUM(20487+919)</f>
        <v>21406</v>
      </c>
      <c r="D9" s="5">
        <v>3190</v>
      </c>
      <c r="E9" s="4">
        <v>309</v>
      </c>
      <c r="F9" s="5">
        <v>71</v>
      </c>
      <c r="G9" s="5">
        <v>105</v>
      </c>
      <c r="H9" s="4">
        <v>156</v>
      </c>
      <c r="I9" s="5">
        <v>64</v>
      </c>
      <c r="J9" s="4">
        <v>59</v>
      </c>
      <c r="K9" s="4"/>
      <c r="L9" s="4"/>
      <c r="M9" s="4">
        <v>3060</v>
      </c>
      <c r="N9" s="4">
        <v>304</v>
      </c>
      <c r="O9" s="4">
        <v>30213</v>
      </c>
      <c r="P9" s="4">
        <f>SUM(26495-304-59-64-156-105-71-309-3190-21406)</f>
        <v>831</v>
      </c>
    </row>
    <row r="10" spans="1:16" ht="15">
      <c r="A10" s="4" t="s">
        <v>248</v>
      </c>
      <c r="B10" s="5">
        <f t="shared" si="0"/>
        <v>404</v>
      </c>
      <c r="C10" s="4">
        <v>133</v>
      </c>
      <c r="D10" s="5"/>
      <c r="E10" s="4"/>
      <c r="F10" s="5">
        <v>5</v>
      </c>
      <c r="G10" s="5">
        <v>123</v>
      </c>
      <c r="H10" s="4"/>
      <c r="I10" s="5">
        <v>1</v>
      </c>
      <c r="J10" s="4"/>
      <c r="K10" s="4"/>
      <c r="L10" s="4"/>
      <c r="M10" s="4">
        <v>17</v>
      </c>
      <c r="N10" s="4"/>
      <c r="O10" s="4">
        <v>99</v>
      </c>
      <c r="P10" s="4">
        <f>SUM(288-1-123-5-133)</f>
        <v>26</v>
      </c>
    </row>
    <row r="11" spans="1:16" ht="15">
      <c r="A11" s="4" t="s">
        <v>249</v>
      </c>
      <c r="B11" s="5">
        <f t="shared" si="0"/>
        <v>17</v>
      </c>
      <c r="C11" s="4"/>
      <c r="D11" s="5"/>
      <c r="E11" s="4"/>
      <c r="F11" s="5">
        <v>6</v>
      </c>
      <c r="G11" s="5"/>
      <c r="H11" s="4"/>
      <c r="I11" s="5"/>
      <c r="J11" s="4"/>
      <c r="K11" s="4"/>
      <c r="L11" s="4"/>
      <c r="M11" s="4">
        <v>3</v>
      </c>
      <c r="N11" s="4"/>
      <c r="O11" s="4">
        <v>8</v>
      </c>
      <c r="P11" s="4"/>
    </row>
    <row r="12" spans="1:16" ht="15">
      <c r="A12" s="4" t="s">
        <v>250</v>
      </c>
      <c r="B12" s="5">
        <f t="shared" si="0"/>
        <v>113</v>
      </c>
      <c r="C12" s="4">
        <v>51</v>
      </c>
      <c r="D12" s="5"/>
      <c r="E12" s="4"/>
      <c r="F12" s="5">
        <v>3</v>
      </c>
      <c r="G12" s="5">
        <v>42</v>
      </c>
      <c r="H12" s="4"/>
      <c r="I12" s="5"/>
      <c r="J12" s="4"/>
      <c r="K12" s="4"/>
      <c r="L12" s="4"/>
      <c r="M12" s="4">
        <v>2</v>
      </c>
      <c r="N12" s="4"/>
      <c r="O12" s="4">
        <v>15</v>
      </c>
      <c r="P12" s="4"/>
    </row>
    <row r="13" spans="1:16" ht="15" customHeight="1">
      <c r="A13" s="4" t="s">
        <v>251</v>
      </c>
      <c r="B13" s="5">
        <f t="shared" si="0"/>
        <v>293</v>
      </c>
      <c r="C13" s="4">
        <v>247</v>
      </c>
      <c r="D13" s="5"/>
      <c r="E13" s="4"/>
      <c r="F13" s="5">
        <v>4</v>
      </c>
      <c r="G13" s="5"/>
      <c r="H13" s="4"/>
      <c r="I13" s="5"/>
      <c r="J13" s="4"/>
      <c r="K13" s="4"/>
      <c r="L13" s="4"/>
      <c r="M13" s="4">
        <v>13</v>
      </c>
      <c r="N13" s="4"/>
      <c r="O13" s="4">
        <v>29</v>
      </c>
      <c r="P13" s="4"/>
    </row>
    <row r="14" spans="1:16" ht="15">
      <c r="A14" s="4" t="s">
        <v>252</v>
      </c>
      <c r="B14" s="5">
        <f t="shared" si="0"/>
        <v>48</v>
      </c>
      <c r="C14" s="4">
        <v>16</v>
      </c>
      <c r="D14" s="5"/>
      <c r="E14" s="4"/>
      <c r="F14" s="5">
        <v>7</v>
      </c>
      <c r="G14" s="5"/>
      <c r="H14" s="4"/>
      <c r="I14" s="5"/>
      <c r="J14" s="4"/>
      <c r="K14" s="4"/>
      <c r="L14" s="4"/>
      <c r="M14" s="4">
        <v>5</v>
      </c>
      <c r="N14" s="4"/>
      <c r="O14" s="4">
        <v>20</v>
      </c>
      <c r="P14" s="4"/>
    </row>
    <row r="15" spans="1:16" ht="15">
      <c r="A15" s="4" t="s">
        <v>202</v>
      </c>
      <c r="B15" s="5">
        <f t="shared" si="0"/>
        <v>17369</v>
      </c>
      <c r="C15" s="4">
        <f>SUM(3879+3338)</f>
        <v>7217</v>
      </c>
      <c r="D15" s="5">
        <v>711</v>
      </c>
      <c r="E15" s="4">
        <v>77</v>
      </c>
      <c r="F15" s="5">
        <v>22</v>
      </c>
      <c r="G15" s="5">
        <v>52</v>
      </c>
      <c r="H15" s="4">
        <v>95</v>
      </c>
      <c r="I15" s="5">
        <v>21</v>
      </c>
      <c r="J15" s="4">
        <v>19</v>
      </c>
      <c r="K15" s="4">
        <v>1</v>
      </c>
      <c r="L15" s="4">
        <v>8</v>
      </c>
      <c r="M15" s="4">
        <v>977</v>
      </c>
      <c r="N15" s="4">
        <v>97</v>
      </c>
      <c r="O15" s="4">
        <v>6814</v>
      </c>
      <c r="P15" s="4">
        <f>SUM(9578-97-8-1-19-21-95-52-22-77-711-7217)</f>
        <v>1258</v>
      </c>
    </row>
    <row r="16" spans="1:16" ht="15">
      <c r="A16" s="4" t="s">
        <v>253</v>
      </c>
      <c r="B16" s="5">
        <f t="shared" si="0"/>
        <v>391</v>
      </c>
      <c r="C16" s="4">
        <v>356</v>
      </c>
      <c r="D16" s="5"/>
      <c r="E16" s="4"/>
      <c r="F16" s="5"/>
      <c r="G16" s="5"/>
      <c r="H16" s="4"/>
      <c r="I16" s="5"/>
      <c r="J16" s="4"/>
      <c r="K16" s="4"/>
      <c r="L16" s="4"/>
      <c r="M16" s="4">
        <v>7</v>
      </c>
      <c r="N16" s="4"/>
      <c r="O16" s="4">
        <v>19</v>
      </c>
      <c r="P16" s="4">
        <v>9</v>
      </c>
    </row>
    <row r="17" spans="1:16" ht="15">
      <c r="A17" s="4" t="s">
        <v>254</v>
      </c>
      <c r="B17" s="5">
        <f t="shared" si="0"/>
        <v>70</v>
      </c>
      <c r="C17" s="4"/>
      <c r="D17" s="5"/>
      <c r="E17" s="4"/>
      <c r="F17" s="5"/>
      <c r="G17" s="5">
        <v>27</v>
      </c>
      <c r="H17" s="4"/>
      <c r="I17" s="5"/>
      <c r="J17" s="4"/>
      <c r="K17" s="4"/>
      <c r="L17" s="4"/>
      <c r="M17" s="4">
        <v>5</v>
      </c>
      <c r="N17" s="4"/>
      <c r="O17" s="4">
        <v>37</v>
      </c>
      <c r="P17" s="4">
        <v>1</v>
      </c>
    </row>
    <row r="18" spans="1:16" ht="15">
      <c r="A18" s="4" t="s">
        <v>257</v>
      </c>
      <c r="B18" s="5">
        <f t="shared" si="0"/>
        <v>233</v>
      </c>
      <c r="C18" s="4">
        <v>146</v>
      </c>
      <c r="D18" s="5"/>
      <c r="E18" s="4"/>
      <c r="F18" s="5">
        <v>4</v>
      </c>
      <c r="G18" s="5"/>
      <c r="H18" s="4"/>
      <c r="I18" s="5"/>
      <c r="J18" s="4"/>
      <c r="K18" s="4"/>
      <c r="L18" s="4"/>
      <c r="M18" s="4">
        <v>3</v>
      </c>
      <c r="N18" s="4"/>
      <c r="O18" s="4">
        <v>80</v>
      </c>
      <c r="P18" s="4"/>
    </row>
    <row r="19" spans="1:16" ht="15">
      <c r="A19" s="4" t="s">
        <v>258</v>
      </c>
      <c r="B19" s="5">
        <f t="shared" si="0"/>
        <v>1058</v>
      </c>
      <c r="C19" s="4">
        <v>813</v>
      </c>
      <c r="D19" s="5"/>
      <c r="E19" s="4"/>
      <c r="F19" s="5">
        <v>25</v>
      </c>
      <c r="G19" s="5"/>
      <c r="H19" s="4">
        <v>4</v>
      </c>
      <c r="I19" s="5">
        <v>3</v>
      </c>
      <c r="J19" s="4"/>
      <c r="K19" s="4"/>
      <c r="L19" s="4"/>
      <c r="M19" s="4">
        <v>37</v>
      </c>
      <c r="N19" s="4">
        <v>20</v>
      </c>
      <c r="O19" s="4">
        <v>137</v>
      </c>
      <c r="P19" s="4">
        <f>SUM(884-20-3-4-25-813)</f>
        <v>19</v>
      </c>
    </row>
    <row r="20" spans="1:16" ht="15">
      <c r="A20" s="4" t="s">
        <v>259</v>
      </c>
      <c r="B20" s="5">
        <f t="shared" si="0"/>
        <v>904</v>
      </c>
      <c r="C20" s="4">
        <v>6</v>
      </c>
      <c r="D20" s="5"/>
      <c r="E20" s="4"/>
      <c r="F20" s="5">
        <v>8</v>
      </c>
      <c r="G20" s="5"/>
      <c r="H20" s="4"/>
      <c r="I20" s="5">
        <v>1</v>
      </c>
      <c r="J20" s="4"/>
      <c r="K20" s="4"/>
      <c r="L20" s="4"/>
      <c r="M20" s="4">
        <v>42</v>
      </c>
      <c r="N20" s="4"/>
      <c r="O20" s="4">
        <v>845</v>
      </c>
      <c r="P20" s="4">
        <v>2</v>
      </c>
    </row>
    <row r="21" spans="1:16" ht="15">
      <c r="A21" s="4" t="s">
        <v>260</v>
      </c>
      <c r="B21" s="5">
        <f t="shared" si="0"/>
        <v>93</v>
      </c>
      <c r="C21" s="4">
        <v>18</v>
      </c>
      <c r="D21" s="5"/>
      <c r="E21" s="4"/>
      <c r="F21" s="5">
        <v>29</v>
      </c>
      <c r="G21" s="5"/>
      <c r="H21" s="4"/>
      <c r="I21" s="5">
        <v>1</v>
      </c>
      <c r="J21" s="4"/>
      <c r="K21" s="4"/>
      <c r="L21" s="4"/>
      <c r="M21" s="4">
        <v>19</v>
      </c>
      <c r="N21" s="4"/>
      <c r="O21" s="4">
        <v>25</v>
      </c>
      <c r="P21" s="4">
        <v>1</v>
      </c>
    </row>
    <row r="22" spans="1:16" ht="15">
      <c r="A22" s="4" t="s">
        <v>261</v>
      </c>
      <c r="B22" s="5">
        <f t="shared" si="0"/>
        <v>441</v>
      </c>
      <c r="C22" s="4">
        <v>348</v>
      </c>
      <c r="D22" s="5"/>
      <c r="E22" s="4"/>
      <c r="F22" s="5">
        <v>18</v>
      </c>
      <c r="G22" s="5"/>
      <c r="H22" s="4">
        <v>1</v>
      </c>
      <c r="I22" s="5"/>
      <c r="J22" s="4"/>
      <c r="K22" s="4"/>
      <c r="L22" s="4"/>
      <c r="M22" s="4">
        <v>4</v>
      </c>
      <c r="N22" s="4"/>
      <c r="O22" s="4">
        <v>64</v>
      </c>
      <c r="P22" s="4">
        <v>6</v>
      </c>
    </row>
    <row r="23" spans="1:16" ht="15">
      <c r="A23" s="4" t="s">
        <v>263</v>
      </c>
      <c r="B23" s="5">
        <f t="shared" si="0"/>
        <v>88</v>
      </c>
      <c r="C23" s="4">
        <v>29</v>
      </c>
      <c r="D23" s="5"/>
      <c r="E23" s="4"/>
      <c r="F23" s="5">
        <v>5</v>
      </c>
      <c r="G23" s="5"/>
      <c r="H23" s="4"/>
      <c r="I23" s="5"/>
      <c r="J23" s="4"/>
      <c r="K23" s="4"/>
      <c r="L23" s="4"/>
      <c r="M23" s="4">
        <v>21</v>
      </c>
      <c r="N23" s="4"/>
      <c r="O23" s="4">
        <v>23</v>
      </c>
      <c r="P23" s="4">
        <v>10</v>
      </c>
    </row>
    <row r="24" spans="1:16" ht="15">
      <c r="A24" s="4" t="s">
        <v>125</v>
      </c>
      <c r="B24" s="5">
        <f t="shared" si="0"/>
        <v>22</v>
      </c>
      <c r="C24" s="4">
        <v>1</v>
      </c>
      <c r="D24" s="5"/>
      <c r="E24" s="4"/>
      <c r="F24" s="5">
        <v>5</v>
      </c>
      <c r="G24" s="5"/>
      <c r="H24" s="4"/>
      <c r="I24" s="5"/>
      <c r="J24" s="4"/>
      <c r="K24" s="4"/>
      <c r="L24" s="4"/>
      <c r="M24" s="4">
        <v>3</v>
      </c>
      <c r="N24" s="4"/>
      <c r="O24" s="4">
        <v>13</v>
      </c>
      <c r="P24" s="4"/>
    </row>
    <row r="25" spans="1:16" ht="15">
      <c r="A25" s="4" t="s">
        <v>264</v>
      </c>
      <c r="B25" s="5">
        <f t="shared" si="0"/>
        <v>79</v>
      </c>
      <c r="C25" s="4">
        <v>65</v>
      </c>
      <c r="D25" s="5"/>
      <c r="E25" s="4"/>
      <c r="F25" s="5">
        <v>3</v>
      </c>
      <c r="G25" s="5"/>
      <c r="H25" s="4"/>
      <c r="I25" s="5"/>
      <c r="J25" s="4"/>
      <c r="K25" s="4"/>
      <c r="L25" s="4"/>
      <c r="M25" s="4">
        <v>1</v>
      </c>
      <c r="N25" s="4"/>
      <c r="O25" s="4">
        <v>10</v>
      </c>
      <c r="P25" s="4"/>
    </row>
    <row r="26" spans="1:16" ht="15">
      <c r="A26" s="4" t="s">
        <v>265</v>
      </c>
      <c r="B26" s="5">
        <f t="shared" si="0"/>
        <v>403</v>
      </c>
      <c r="C26" s="4">
        <v>192</v>
      </c>
      <c r="D26" s="5"/>
      <c r="E26" s="4"/>
      <c r="F26" s="5">
        <v>24</v>
      </c>
      <c r="G26" s="5">
        <v>7</v>
      </c>
      <c r="H26" s="4">
        <v>1</v>
      </c>
      <c r="I26" s="5">
        <v>1</v>
      </c>
      <c r="J26" s="4"/>
      <c r="K26" s="4"/>
      <c r="L26" s="4"/>
      <c r="M26" s="4">
        <v>30</v>
      </c>
      <c r="N26" s="4"/>
      <c r="O26" s="4">
        <v>148</v>
      </c>
      <c r="P26" s="4"/>
    </row>
    <row r="27" spans="1:16" ht="15">
      <c r="A27" s="4" t="s">
        <v>266</v>
      </c>
      <c r="B27" s="5">
        <f t="shared" si="0"/>
        <v>2615</v>
      </c>
      <c r="C27" s="4">
        <f>SUM(919+819)</f>
        <v>1738</v>
      </c>
      <c r="D27" s="5"/>
      <c r="E27" s="4"/>
      <c r="F27" s="5">
        <v>25</v>
      </c>
      <c r="G27" s="5">
        <v>42</v>
      </c>
      <c r="H27" s="4">
        <v>4</v>
      </c>
      <c r="I27" s="5">
        <v>1</v>
      </c>
      <c r="J27" s="4"/>
      <c r="K27" s="4"/>
      <c r="L27" s="4"/>
      <c r="M27" s="4">
        <v>52</v>
      </c>
      <c r="N27" s="4">
        <v>5</v>
      </c>
      <c r="O27" s="4">
        <v>650</v>
      </c>
      <c r="P27" s="4">
        <f>SUM(1913-5-1-4-42-25-1738)</f>
        <v>98</v>
      </c>
    </row>
    <row r="28" spans="1:16" ht="15">
      <c r="A28" s="4" t="s">
        <v>268</v>
      </c>
      <c r="B28" s="5">
        <f t="shared" si="0"/>
        <v>24</v>
      </c>
      <c r="C28" s="4"/>
      <c r="D28" s="5"/>
      <c r="E28" s="4"/>
      <c r="F28" s="5">
        <v>1</v>
      </c>
      <c r="G28" s="5"/>
      <c r="H28" s="4"/>
      <c r="I28" s="5"/>
      <c r="J28" s="4"/>
      <c r="K28" s="4"/>
      <c r="L28" s="4"/>
      <c r="M28" s="4">
        <v>11</v>
      </c>
      <c r="N28" s="4"/>
      <c r="O28" s="4">
        <v>12</v>
      </c>
      <c r="P28" s="4"/>
    </row>
    <row r="29" spans="1:16" ht="15">
      <c r="A29" s="4"/>
      <c r="B29" s="5"/>
      <c r="C29" s="4"/>
      <c r="D29" s="5"/>
      <c r="E29" s="4"/>
      <c r="F29" s="5"/>
      <c r="G29" s="5"/>
      <c r="H29" s="4"/>
      <c r="I29" s="5"/>
      <c r="J29" s="4"/>
      <c r="K29" s="4"/>
      <c r="L29" s="4"/>
      <c r="M29" s="4"/>
      <c r="N29" s="4"/>
      <c r="O29" s="4"/>
      <c r="P29" s="4"/>
    </row>
    <row r="30" spans="1:16" ht="15">
      <c r="A30" s="4" t="s">
        <v>9</v>
      </c>
      <c r="B30" s="5">
        <f>SUM(B9:B28)</f>
        <v>84433</v>
      </c>
      <c r="C30" s="4"/>
      <c r="D30" s="5"/>
      <c r="E30" s="4"/>
      <c r="F30" s="5"/>
      <c r="G30" s="5"/>
      <c r="H30" s="4"/>
      <c r="I30" s="5"/>
      <c r="J30" s="4"/>
      <c r="K30" s="4"/>
      <c r="L30" s="4"/>
      <c r="M30" s="4"/>
      <c r="N30" s="4"/>
      <c r="O30" s="4"/>
      <c r="P30" s="4"/>
    </row>
    <row r="31" ht="15">
      <c r="A31" s="2"/>
    </row>
    <row r="32" ht="15">
      <c r="B32" s="2" t="s">
        <v>312</v>
      </c>
    </row>
    <row r="33" ht="15">
      <c r="B33" s="2"/>
    </row>
    <row r="34" ht="15">
      <c r="B34" s="2" t="s">
        <v>313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7"/>
  <sheetViews>
    <sheetView defaultGridColor="0" zoomScalePageLayoutView="0" colorId="8" workbookViewId="0" topLeftCell="A1">
      <selection activeCell="C9" sqref="C9:P9"/>
    </sheetView>
  </sheetViews>
  <sheetFormatPr defaultColWidth="8.88671875" defaultRowHeight="15"/>
  <cols>
    <col min="1" max="1" width="8.3359375" style="0" customWidth="1"/>
    <col min="2" max="2" width="7.77734375" style="0" customWidth="1"/>
    <col min="3" max="3" width="7.21484375" style="0" customWidth="1"/>
    <col min="4" max="4" width="7.10546875" style="0" customWidth="1"/>
    <col min="5" max="5" width="5.99609375" style="0" customWidth="1"/>
    <col min="6" max="6" width="5.6640625" style="0" customWidth="1"/>
    <col min="7" max="7" width="6.99609375" style="0" customWidth="1"/>
    <col min="8" max="8" width="6.3359375" style="0" customWidth="1"/>
    <col min="9" max="9" width="7.3359375" style="0" customWidth="1"/>
    <col min="10" max="10" width="5.3359375" style="0" customWidth="1"/>
    <col min="11" max="11" width="6.6640625" style="0" customWidth="1"/>
    <col min="12" max="12" width="5.4453125" style="0" customWidth="1"/>
    <col min="13" max="15" width="6.5546875" style="0" customWidth="1"/>
    <col min="16" max="16" width="5.4453125" style="0" customWidth="1"/>
  </cols>
  <sheetData>
    <row r="1" spans="1:16" ht="18.75" customHeight="1">
      <c r="A1" s="36" t="s">
        <v>271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8.75" customHeight="1">
      <c r="A2" s="36" t="s">
        <v>311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ht="18.75">
      <c r="A3" s="1"/>
    </row>
    <row r="4" spans="1:16" ht="15">
      <c r="A4" s="34" t="s">
        <v>339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">
      <c r="A5" s="34" t="s">
        <v>20</v>
      </c>
      <c r="B5" s="35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">
      <c r="A6" s="34" t="s">
        <v>19</v>
      </c>
      <c r="B6" s="3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8" spans="1:16" ht="22.5">
      <c r="A8" s="3" t="s">
        <v>10</v>
      </c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9" t="s">
        <v>314</v>
      </c>
      <c r="L8" s="3" t="s">
        <v>13</v>
      </c>
      <c r="M8" s="3" t="s">
        <v>310</v>
      </c>
      <c r="N8" s="9" t="s">
        <v>7</v>
      </c>
      <c r="O8" s="9" t="s">
        <v>305</v>
      </c>
      <c r="P8" s="3" t="s">
        <v>8</v>
      </c>
    </row>
    <row r="9" spans="1:16" ht="15">
      <c r="A9" s="4" t="s">
        <v>45</v>
      </c>
      <c r="B9" s="5">
        <f>SUM(C9:P9)</f>
        <v>34652</v>
      </c>
      <c r="C9" s="4">
        <f>SUM(855+2375)</f>
        <v>3230</v>
      </c>
      <c r="D9" s="5">
        <v>4135</v>
      </c>
      <c r="E9" s="4">
        <v>2496</v>
      </c>
      <c r="F9" s="5">
        <v>221</v>
      </c>
      <c r="G9" s="5">
        <v>24</v>
      </c>
      <c r="H9" s="4">
        <v>151</v>
      </c>
      <c r="I9" s="5">
        <v>330</v>
      </c>
      <c r="J9" s="4">
        <v>553</v>
      </c>
      <c r="K9" s="4">
        <v>10</v>
      </c>
      <c r="L9" s="4">
        <v>826</v>
      </c>
      <c r="M9" s="4">
        <v>8092</v>
      </c>
      <c r="N9" s="4">
        <v>1033</v>
      </c>
      <c r="O9" s="4">
        <v>9579</v>
      </c>
      <c r="P9" s="4">
        <f>SUM(16981-1033-826-10-553-330-151-24-221-2496-4135-3230)</f>
        <v>3972</v>
      </c>
    </row>
    <row r="10" spans="1:16" ht="15">
      <c r="A10" s="4" t="s">
        <v>270</v>
      </c>
      <c r="B10" s="5">
        <f>SUM(C10:P10)</f>
        <v>4198</v>
      </c>
      <c r="C10" s="4">
        <v>1047</v>
      </c>
      <c r="D10" s="5">
        <v>3</v>
      </c>
      <c r="E10" s="4"/>
      <c r="F10" s="5">
        <v>8</v>
      </c>
      <c r="G10" s="5"/>
      <c r="H10" s="4">
        <v>22</v>
      </c>
      <c r="I10" s="5">
        <v>22</v>
      </c>
      <c r="J10" s="4"/>
      <c r="K10" s="4"/>
      <c r="L10" s="4"/>
      <c r="M10" s="4">
        <v>614</v>
      </c>
      <c r="N10" s="4">
        <v>31</v>
      </c>
      <c r="O10" s="4">
        <v>2359</v>
      </c>
      <c r="P10" s="4">
        <f>SUM(1225-31-22-22-8-3-1047)</f>
        <v>92</v>
      </c>
    </row>
    <row r="11" spans="1:16" ht="15">
      <c r="A11" s="4" t="s">
        <v>74</v>
      </c>
      <c r="B11" s="5">
        <f>SUM(C11:P11)</f>
        <v>25262</v>
      </c>
      <c r="C11" s="4">
        <f>SUM(2434+1202)</f>
        <v>3636</v>
      </c>
      <c r="D11" s="5">
        <v>275</v>
      </c>
      <c r="E11" s="4">
        <v>792</v>
      </c>
      <c r="F11" s="5">
        <v>268</v>
      </c>
      <c r="G11" s="5">
        <v>47</v>
      </c>
      <c r="H11" s="4">
        <v>2280</v>
      </c>
      <c r="I11" s="5">
        <v>159</v>
      </c>
      <c r="J11" s="4">
        <v>45</v>
      </c>
      <c r="K11" s="4"/>
      <c r="L11" s="4">
        <v>2</v>
      </c>
      <c r="M11" s="4">
        <v>3791</v>
      </c>
      <c r="N11" s="4">
        <v>210</v>
      </c>
      <c r="O11" s="4">
        <v>10502</v>
      </c>
      <c r="P11" s="4">
        <f>SUM(10969-210-2-45-159-2280-47-268-792-275-3636)</f>
        <v>3255</v>
      </c>
    </row>
    <row r="12" spans="1:16" ht="15">
      <c r="A12" s="4"/>
      <c r="B12" s="5"/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  <c r="O12" s="4"/>
      <c r="P12" s="4"/>
    </row>
    <row r="13" spans="1:16" ht="15">
      <c r="A13" s="4" t="s">
        <v>9</v>
      </c>
      <c r="B13" s="5">
        <f>SUM(B9:B11)</f>
        <v>64112</v>
      </c>
      <c r="C13" s="4"/>
      <c r="D13" s="5"/>
      <c r="E13" s="4"/>
      <c r="F13" s="5"/>
      <c r="G13" s="5"/>
      <c r="H13" s="4"/>
      <c r="I13" s="5"/>
      <c r="J13" s="4"/>
      <c r="K13" s="4"/>
      <c r="L13" s="4"/>
      <c r="M13" s="4"/>
      <c r="N13" s="4"/>
      <c r="O13" s="4"/>
      <c r="P13" s="4"/>
    </row>
    <row r="15" ht="15">
      <c r="B15" s="2" t="s">
        <v>312</v>
      </c>
    </row>
    <row r="17" ht="15">
      <c r="B17" s="2" t="s">
        <v>313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2"/>
  <sheetViews>
    <sheetView defaultGridColor="0" zoomScalePageLayoutView="0" colorId="8" workbookViewId="0" topLeftCell="A1">
      <selection activeCell="A5" sqref="A5:N5"/>
    </sheetView>
  </sheetViews>
  <sheetFormatPr defaultColWidth="8.88671875" defaultRowHeight="15"/>
  <cols>
    <col min="1" max="1" width="10.21484375" style="0" customWidth="1"/>
    <col min="2" max="2" width="7.6640625" style="0" customWidth="1"/>
    <col min="3" max="3" width="7.5546875" style="0" customWidth="1"/>
    <col min="4" max="4" width="6.77734375" style="0" customWidth="1"/>
    <col min="5" max="5" width="5.99609375" style="0" customWidth="1"/>
    <col min="6" max="6" width="5.6640625" style="0" customWidth="1"/>
    <col min="7" max="7" width="6.3359375" style="0" customWidth="1"/>
    <col min="8" max="8" width="5.77734375" style="0" customWidth="1"/>
    <col min="9" max="9" width="7.88671875" style="0" customWidth="1"/>
    <col min="10" max="10" width="5.99609375" style="0" customWidth="1"/>
    <col min="11" max="11" width="6.6640625" style="0" customWidth="1"/>
    <col min="12" max="13" width="6.5546875" style="0" customWidth="1"/>
    <col min="14" max="14" width="6.88671875" style="0" customWidth="1"/>
  </cols>
  <sheetData>
    <row r="1" spans="1:14" ht="18.75" customHeight="1">
      <c r="A1" s="36" t="s">
        <v>279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8.75" customHeight="1">
      <c r="A2" s="36" t="s">
        <v>311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ht="18.75">
      <c r="A3" s="1"/>
    </row>
    <row r="4" spans="1:14" ht="15">
      <c r="A4" s="34" t="s">
        <v>340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5">
      <c r="A5" s="34" t="s">
        <v>20</v>
      </c>
      <c r="B5" s="35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5">
      <c r="A6" s="34" t="s">
        <v>19</v>
      </c>
      <c r="B6" s="3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8" spans="1:14" ht="22.5">
      <c r="A8" s="3" t="s">
        <v>10</v>
      </c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310</v>
      </c>
      <c r="L8" s="9" t="s">
        <v>7</v>
      </c>
      <c r="M8" s="9" t="s">
        <v>305</v>
      </c>
      <c r="N8" s="3" t="s">
        <v>8</v>
      </c>
    </row>
    <row r="9" spans="1:14" ht="15">
      <c r="A9" s="4" t="s">
        <v>90</v>
      </c>
      <c r="B9" s="5">
        <f aca="true" t="shared" si="0" ref="B9:B16">SUM(C9:N9)</f>
        <v>1125</v>
      </c>
      <c r="C9" s="4">
        <v>40</v>
      </c>
      <c r="D9" s="5"/>
      <c r="E9" s="4"/>
      <c r="F9" s="5">
        <v>5</v>
      </c>
      <c r="G9" s="5"/>
      <c r="H9" s="4"/>
      <c r="I9" s="5">
        <v>2</v>
      </c>
      <c r="J9" s="4"/>
      <c r="K9" s="4">
        <v>97</v>
      </c>
      <c r="L9" s="4"/>
      <c r="M9" s="4">
        <v>733</v>
      </c>
      <c r="N9" s="4">
        <v>248</v>
      </c>
    </row>
    <row r="10" spans="1:14" ht="15">
      <c r="A10" s="4" t="s">
        <v>272</v>
      </c>
      <c r="B10" s="5">
        <f t="shared" si="0"/>
        <v>334</v>
      </c>
      <c r="C10" s="4">
        <v>1</v>
      </c>
      <c r="D10" s="5"/>
      <c r="E10" s="4"/>
      <c r="F10" s="5">
        <v>3</v>
      </c>
      <c r="G10" s="5"/>
      <c r="H10" s="4"/>
      <c r="I10" s="5"/>
      <c r="J10" s="4"/>
      <c r="K10" s="4">
        <v>48</v>
      </c>
      <c r="L10" s="4"/>
      <c r="M10" s="4">
        <v>282</v>
      </c>
      <c r="N10" s="4"/>
    </row>
    <row r="11" spans="1:14" ht="15">
      <c r="A11" s="4" t="s">
        <v>192</v>
      </c>
      <c r="B11" s="5">
        <f t="shared" si="0"/>
        <v>163</v>
      </c>
      <c r="C11" s="4"/>
      <c r="D11" s="5"/>
      <c r="E11" s="4"/>
      <c r="F11" s="5">
        <v>2</v>
      </c>
      <c r="G11" s="5">
        <v>8</v>
      </c>
      <c r="H11" s="4"/>
      <c r="I11" s="5"/>
      <c r="J11" s="4"/>
      <c r="K11" s="4">
        <v>45</v>
      </c>
      <c r="L11" s="4"/>
      <c r="M11" s="4">
        <v>107</v>
      </c>
      <c r="N11" s="4">
        <v>1</v>
      </c>
    </row>
    <row r="12" spans="1:14" ht="15">
      <c r="A12" s="4" t="s">
        <v>194</v>
      </c>
      <c r="B12" s="5">
        <f t="shared" si="0"/>
        <v>252</v>
      </c>
      <c r="C12" s="4"/>
      <c r="D12" s="5"/>
      <c r="E12" s="4"/>
      <c r="F12" s="5">
        <v>8</v>
      </c>
      <c r="G12" s="5"/>
      <c r="H12" s="4"/>
      <c r="I12" s="5">
        <v>2</v>
      </c>
      <c r="J12" s="4"/>
      <c r="K12" s="4">
        <v>63</v>
      </c>
      <c r="L12" s="4"/>
      <c r="M12" s="4">
        <v>179</v>
      </c>
      <c r="N12" s="4"/>
    </row>
    <row r="13" spans="1:14" ht="15">
      <c r="A13" s="4" t="s">
        <v>274</v>
      </c>
      <c r="B13" s="5">
        <f t="shared" si="0"/>
        <v>189</v>
      </c>
      <c r="C13" s="4"/>
      <c r="D13" s="5"/>
      <c r="E13" s="4"/>
      <c r="F13" s="5">
        <v>38</v>
      </c>
      <c r="G13" s="5"/>
      <c r="H13" s="4"/>
      <c r="I13" s="5"/>
      <c r="J13" s="4"/>
      <c r="K13" s="4">
        <v>38</v>
      </c>
      <c r="L13" s="4"/>
      <c r="M13" s="4">
        <v>113</v>
      </c>
      <c r="N13" s="4"/>
    </row>
    <row r="14" spans="1:14" ht="15">
      <c r="A14" s="4" t="s">
        <v>244</v>
      </c>
      <c r="B14" s="5">
        <f t="shared" si="0"/>
        <v>1263</v>
      </c>
      <c r="C14" s="4">
        <v>15</v>
      </c>
      <c r="D14" s="5">
        <v>1</v>
      </c>
      <c r="E14" s="4"/>
      <c r="F14" s="5">
        <v>8</v>
      </c>
      <c r="G14" s="5">
        <v>16</v>
      </c>
      <c r="H14" s="4"/>
      <c r="I14" s="5">
        <v>2</v>
      </c>
      <c r="J14" s="4"/>
      <c r="K14" s="4">
        <v>148</v>
      </c>
      <c r="L14" s="4">
        <v>12</v>
      </c>
      <c r="M14" s="4">
        <v>1055</v>
      </c>
      <c r="N14" s="4">
        <v>6</v>
      </c>
    </row>
    <row r="15" spans="1:14" ht="15">
      <c r="A15" s="4" t="s">
        <v>198</v>
      </c>
      <c r="B15" s="5">
        <f t="shared" si="0"/>
        <v>171</v>
      </c>
      <c r="C15" s="4">
        <v>1</v>
      </c>
      <c r="D15" s="5"/>
      <c r="E15" s="4"/>
      <c r="F15" s="5">
        <v>3</v>
      </c>
      <c r="G15" s="5"/>
      <c r="H15" s="4"/>
      <c r="I15" s="5">
        <v>1</v>
      </c>
      <c r="J15" s="4"/>
      <c r="K15" s="4">
        <v>47</v>
      </c>
      <c r="L15" s="4"/>
      <c r="M15" s="4">
        <v>119</v>
      </c>
      <c r="N15" s="4"/>
    </row>
    <row r="16" spans="1:14" ht="15">
      <c r="A16" s="4" t="s">
        <v>93</v>
      </c>
      <c r="B16" s="5">
        <f t="shared" si="0"/>
        <v>15161</v>
      </c>
      <c r="C16" s="4">
        <f>SUM(557+401)</f>
        <v>958</v>
      </c>
      <c r="D16" s="5">
        <v>1330</v>
      </c>
      <c r="E16" s="4">
        <v>5478</v>
      </c>
      <c r="F16" s="5">
        <v>90</v>
      </c>
      <c r="G16" s="5">
        <v>107</v>
      </c>
      <c r="H16" s="4">
        <v>137</v>
      </c>
      <c r="I16" s="5">
        <v>48</v>
      </c>
      <c r="J16" s="4">
        <v>28</v>
      </c>
      <c r="K16" s="4">
        <v>1223</v>
      </c>
      <c r="L16" s="4">
        <v>77</v>
      </c>
      <c r="M16" s="4">
        <v>5322</v>
      </c>
      <c r="N16" s="4">
        <f>SUM(8616-77-28-48-137-107-90-5478-1330-958)</f>
        <v>363</v>
      </c>
    </row>
    <row r="17" spans="1:14" ht="15">
      <c r="A17" s="4"/>
      <c r="B17" s="5"/>
      <c r="C17" s="4"/>
      <c r="D17" s="5"/>
      <c r="E17" s="4"/>
      <c r="F17" s="5"/>
      <c r="G17" s="5"/>
      <c r="H17" s="4"/>
      <c r="I17" s="5"/>
      <c r="J17" s="4"/>
      <c r="K17" s="4"/>
      <c r="L17" s="4"/>
      <c r="M17" s="4"/>
      <c r="N17" s="4"/>
    </row>
    <row r="18" spans="1:14" ht="15">
      <c r="A18" s="4" t="s">
        <v>9</v>
      </c>
      <c r="B18" s="5">
        <f>SUM(B9:B16)</f>
        <v>18658</v>
      </c>
      <c r="C18" s="4"/>
      <c r="D18" s="5"/>
      <c r="E18" s="4"/>
      <c r="F18" s="5"/>
      <c r="G18" s="5"/>
      <c r="H18" s="4"/>
      <c r="I18" s="5"/>
      <c r="J18" s="4"/>
      <c r="K18" s="4"/>
      <c r="L18" s="4"/>
      <c r="M18" s="4"/>
      <c r="N18" s="4"/>
    </row>
    <row r="20" ht="15">
      <c r="B20" s="2" t="s">
        <v>312</v>
      </c>
    </row>
    <row r="22" ht="15">
      <c r="B22" s="2" t="s">
        <v>313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75" right="0.75" top="1" bottom="1" header="0.5" footer="0.5"/>
  <pageSetup horizontalDpi="600" verticalDpi="600" orientation="landscape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18"/>
  <sheetViews>
    <sheetView defaultGridColor="0" zoomScalePageLayoutView="0" colorId="8" workbookViewId="0" topLeftCell="A1">
      <selection activeCell="A5" sqref="A5:P5"/>
    </sheetView>
  </sheetViews>
  <sheetFormatPr defaultColWidth="8.88671875" defaultRowHeight="15"/>
  <cols>
    <col min="1" max="2" width="7.88671875" style="0" customWidth="1"/>
    <col min="3" max="3" width="7.3359375" style="0" customWidth="1"/>
    <col min="4" max="4" width="6.5546875" style="0" customWidth="1"/>
    <col min="5" max="5" width="5.21484375" style="0" customWidth="1"/>
    <col min="6" max="6" width="5.99609375" style="0" customWidth="1"/>
    <col min="7" max="7" width="6.10546875" style="0" customWidth="1"/>
    <col min="8" max="8" width="5.77734375" style="0" customWidth="1"/>
    <col min="10" max="10" width="5.5546875" style="0" customWidth="1"/>
    <col min="11" max="11" width="6.3359375" style="0" customWidth="1"/>
    <col min="12" max="12" width="5.4453125" style="0" customWidth="1"/>
    <col min="13" max="13" width="5.88671875" style="0" customWidth="1"/>
    <col min="14" max="15" width="7.3359375" style="0" customWidth="1"/>
    <col min="16" max="16" width="6.21484375" style="0" customWidth="1"/>
  </cols>
  <sheetData>
    <row r="1" spans="1:16" ht="18.75" customHeight="1">
      <c r="A1" s="36" t="s">
        <v>280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8.75" customHeight="1">
      <c r="A2" s="36" t="s">
        <v>311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ht="18.75">
      <c r="A3" s="1"/>
    </row>
    <row r="4" spans="1:16" ht="15">
      <c r="A4" s="34" t="s">
        <v>341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">
      <c r="A5" s="34" t="s">
        <v>20</v>
      </c>
      <c r="B5" s="35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">
      <c r="A6" s="34" t="s">
        <v>19</v>
      </c>
      <c r="B6" s="3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8" spans="1:16" ht="22.5">
      <c r="A8" s="3" t="s">
        <v>10</v>
      </c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9" t="s">
        <v>314</v>
      </c>
      <c r="L8" s="3" t="s">
        <v>13</v>
      </c>
      <c r="M8" s="3" t="s">
        <v>310</v>
      </c>
      <c r="N8" s="9" t="s">
        <v>7</v>
      </c>
      <c r="O8" s="9" t="s">
        <v>305</v>
      </c>
      <c r="P8" s="3" t="s">
        <v>8</v>
      </c>
    </row>
    <row r="9" spans="1:16" ht="15">
      <c r="A9" s="4" t="s">
        <v>141</v>
      </c>
      <c r="B9" s="5">
        <f>SUM(C9:P9)</f>
        <v>265</v>
      </c>
      <c r="C9" s="4">
        <v>4</v>
      </c>
      <c r="D9" s="5"/>
      <c r="E9" s="4"/>
      <c r="F9" s="5">
        <v>2</v>
      </c>
      <c r="G9" s="5"/>
      <c r="H9" s="4"/>
      <c r="I9" s="5">
        <v>2</v>
      </c>
      <c r="J9" s="4"/>
      <c r="K9" s="4"/>
      <c r="L9" s="4"/>
      <c r="M9" s="4">
        <v>62</v>
      </c>
      <c r="N9" s="4"/>
      <c r="O9" s="4">
        <v>195</v>
      </c>
      <c r="P9" s="4"/>
    </row>
    <row r="10" spans="1:16" ht="15">
      <c r="A10" s="4" t="s">
        <v>45</v>
      </c>
      <c r="B10" s="5">
        <f>SUM(C10:P10)</f>
        <v>34652</v>
      </c>
      <c r="C10" s="4">
        <f>SUM(855+2375)</f>
        <v>3230</v>
      </c>
      <c r="D10" s="5">
        <v>4135</v>
      </c>
      <c r="E10" s="4">
        <v>2496</v>
      </c>
      <c r="F10" s="5">
        <v>221</v>
      </c>
      <c r="G10" s="5">
        <v>24</v>
      </c>
      <c r="H10" s="4">
        <v>151</v>
      </c>
      <c r="I10" s="5">
        <v>330</v>
      </c>
      <c r="J10" s="4">
        <v>553</v>
      </c>
      <c r="K10" s="4">
        <v>10</v>
      </c>
      <c r="L10" s="4">
        <v>826</v>
      </c>
      <c r="M10" s="4">
        <v>8092</v>
      </c>
      <c r="N10" s="4">
        <v>1033</v>
      </c>
      <c r="O10" s="4">
        <v>9579</v>
      </c>
      <c r="P10" s="4">
        <f>SUM(16981-1033-826-10-553-330-151-24-221-2496-4135-3230)</f>
        <v>3972</v>
      </c>
    </row>
    <row r="11" spans="1:16" ht="15">
      <c r="A11" s="4" t="s">
        <v>270</v>
      </c>
      <c r="B11" s="5">
        <f>SUM(C11:P11)</f>
        <v>4198</v>
      </c>
      <c r="C11" s="4">
        <v>1047</v>
      </c>
      <c r="D11" s="5">
        <v>3</v>
      </c>
      <c r="E11" s="4"/>
      <c r="F11" s="5">
        <v>8</v>
      </c>
      <c r="G11" s="5"/>
      <c r="H11" s="4">
        <v>22</v>
      </c>
      <c r="I11" s="5">
        <v>22</v>
      </c>
      <c r="J11" s="4"/>
      <c r="K11" s="4"/>
      <c r="L11" s="4"/>
      <c r="M11" s="4">
        <v>614</v>
      </c>
      <c r="N11" s="4">
        <v>31</v>
      </c>
      <c r="O11" s="4">
        <v>2359</v>
      </c>
      <c r="P11" s="4">
        <f>SUM(1225-31-22-22-8-3-1047)</f>
        <v>92</v>
      </c>
    </row>
    <row r="12" spans="1:16" ht="15">
      <c r="A12" s="4" t="s">
        <v>74</v>
      </c>
      <c r="B12" s="5">
        <f>SUM(C12:P12)</f>
        <v>25262</v>
      </c>
      <c r="C12" s="4">
        <f>SUM(2434+1202)</f>
        <v>3636</v>
      </c>
      <c r="D12" s="5">
        <v>275</v>
      </c>
      <c r="E12" s="4">
        <v>792</v>
      </c>
      <c r="F12" s="5">
        <v>268</v>
      </c>
      <c r="G12" s="5">
        <v>47</v>
      </c>
      <c r="H12" s="4">
        <v>2280</v>
      </c>
      <c r="I12" s="5">
        <v>159</v>
      </c>
      <c r="J12" s="4">
        <v>45</v>
      </c>
      <c r="K12" s="4"/>
      <c r="L12" s="4">
        <v>2</v>
      </c>
      <c r="M12" s="4">
        <v>3791</v>
      </c>
      <c r="N12" s="4">
        <v>210</v>
      </c>
      <c r="O12" s="4">
        <v>10502</v>
      </c>
      <c r="P12" s="4">
        <f>SUM(10969-210-2-45-159-2280-47-268-792-275-3636)</f>
        <v>3255</v>
      </c>
    </row>
    <row r="13" spans="1:16" ht="15">
      <c r="A13" s="4"/>
      <c r="B13" s="5"/>
      <c r="C13" s="4"/>
      <c r="D13" s="5"/>
      <c r="E13" s="4"/>
      <c r="F13" s="5"/>
      <c r="G13" s="5"/>
      <c r="H13" s="4"/>
      <c r="I13" s="5"/>
      <c r="J13" s="4"/>
      <c r="K13" s="4"/>
      <c r="L13" s="4"/>
      <c r="M13" s="4"/>
      <c r="N13" s="4"/>
      <c r="O13" s="4"/>
      <c r="P13" s="4"/>
    </row>
    <row r="14" spans="1:16" ht="15" customHeight="1">
      <c r="A14" s="4" t="s">
        <v>9</v>
      </c>
      <c r="B14" s="5">
        <f>SUM(B9:B12)</f>
        <v>64377</v>
      </c>
      <c r="C14" s="4"/>
      <c r="D14" s="5"/>
      <c r="E14" s="4"/>
      <c r="F14" s="5"/>
      <c r="G14" s="5"/>
      <c r="H14" s="4"/>
      <c r="I14" s="5"/>
      <c r="J14" s="4"/>
      <c r="K14" s="4"/>
      <c r="L14" s="4"/>
      <c r="M14" s="4"/>
      <c r="N14" s="4"/>
      <c r="O14" s="4"/>
      <c r="P14" s="4"/>
    </row>
    <row r="16" ht="15">
      <c r="B16" s="2" t="s">
        <v>312</v>
      </c>
    </row>
    <row r="18" ht="15">
      <c r="B18" s="2" t="s">
        <v>313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20"/>
  <sheetViews>
    <sheetView defaultGridColor="0" zoomScalePageLayoutView="0" colorId="8" workbookViewId="0" topLeftCell="A1">
      <selection activeCell="A5" sqref="A5:N5"/>
    </sheetView>
  </sheetViews>
  <sheetFormatPr defaultColWidth="8.88671875" defaultRowHeight="15"/>
  <cols>
    <col min="1" max="1" width="10.88671875" style="0" customWidth="1"/>
    <col min="2" max="2" width="7.88671875" style="0" customWidth="1"/>
    <col min="3" max="3" width="7.21484375" style="0" customWidth="1"/>
    <col min="4" max="4" width="6.5546875" style="0" customWidth="1"/>
    <col min="5" max="5" width="5.3359375" style="0" customWidth="1"/>
    <col min="6" max="6" width="5.10546875" style="0" customWidth="1"/>
    <col min="7" max="7" width="7.3359375" style="0" customWidth="1"/>
    <col min="8" max="8" width="6.10546875" style="0" customWidth="1"/>
    <col min="10" max="10" width="5.5546875" style="0" customWidth="1"/>
    <col min="11" max="11" width="6.21484375" style="0" customWidth="1"/>
    <col min="13" max="13" width="7.21484375" style="0" customWidth="1"/>
    <col min="14" max="14" width="5.99609375" style="0" customWidth="1"/>
  </cols>
  <sheetData>
    <row r="1" spans="1:14" ht="18.75" customHeight="1">
      <c r="A1" s="36" t="s">
        <v>285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8.75" customHeight="1">
      <c r="A2" s="36" t="s">
        <v>311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ht="18.75">
      <c r="A3" s="1"/>
    </row>
    <row r="4" spans="1:14" ht="15">
      <c r="A4" s="34" t="s">
        <v>342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5">
      <c r="A5" s="34" t="s">
        <v>20</v>
      </c>
      <c r="B5" s="35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5">
      <c r="A6" s="34" t="s">
        <v>19</v>
      </c>
      <c r="B6" s="3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8" spans="1:14" ht="22.5">
      <c r="A8" s="3" t="s">
        <v>10</v>
      </c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310</v>
      </c>
      <c r="L8" s="9" t="s">
        <v>7</v>
      </c>
      <c r="M8" s="9" t="s">
        <v>305</v>
      </c>
      <c r="N8" s="3" t="s">
        <v>8</v>
      </c>
    </row>
    <row r="9" spans="1:14" ht="15">
      <c r="A9" s="4" t="s">
        <v>191</v>
      </c>
      <c r="B9" s="5">
        <f aca="true" t="shared" si="0" ref="B9:B14">SUM(C9:N9)</f>
        <v>4140</v>
      </c>
      <c r="C9" s="4">
        <f>SUM(30+1894)</f>
        <v>1924</v>
      </c>
      <c r="D9" s="5">
        <v>149</v>
      </c>
      <c r="E9" s="4">
        <v>46</v>
      </c>
      <c r="F9" s="5">
        <v>67</v>
      </c>
      <c r="G9" s="5">
        <v>25</v>
      </c>
      <c r="H9" s="4">
        <v>37</v>
      </c>
      <c r="I9" s="5">
        <v>40</v>
      </c>
      <c r="J9" s="4">
        <v>8</v>
      </c>
      <c r="K9" s="4">
        <v>315</v>
      </c>
      <c r="L9" s="4">
        <v>80</v>
      </c>
      <c r="M9" s="4">
        <v>1315</v>
      </c>
      <c r="N9" s="4">
        <f>SUM(2510-80-8-40-37-25-67-46-149-1924)</f>
        <v>134</v>
      </c>
    </row>
    <row r="10" spans="1:14" ht="15">
      <c r="A10" s="4" t="s">
        <v>281</v>
      </c>
      <c r="B10" s="5">
        <f t="shared" si="0"/>
        <v>4</v>
      </c>
      <c r="C10" s="4"/>
      <c r="D10" s="5"/>
      <c r="E10" s="4"/>
      <c r="F10" s="5"/>
      <c r="G10" s="5"/>
      <c r="H10" s="4"/>
      <c r="I10" s="5"/>
      <c r="J10" s="4"/>
      <c r="K10" s="4">
        <v>3</v>
      </c>
      <c r="L10" s="4"/>
      <c r="M10" s="4">
        <v>1</v>
      </c>
      <c r="N10" s="4"/>
    </row>
    <row r="11" spans="1:14" ht="15">
      <c r="A11" s="4" t="s">
        <v>282</v>
      </c>
      <c r="B11" s="5">
        <f t="shared" si="0"/>
        <v>1124</v>
      </c>
      <c r="C11" s="4">
        <f>SUM(384+355)</f>
        <v>739</v>
      </c>
      <c r="D11" s="5"/>
      <c r="E11" s="4"/>
      <c r="F11" s="5">
        <v>24</v>
      </c>
      <c r="G11" s="5"/>
      <c r="H11" s="4">
        <v>1</v>
      </c>
      <c r="I11" s="5">
        <v>3</v>
      </c>
      <c r="J11" s="4"/>
      <c r="K11" s="4">
        <v>36</v>
      </c>
      <c r="L11" s="4"/>
      <c r="M11" s="4">
        <v>308</v>
      </c>
      <c r="N11" s="4">
        <f>SUM(780-3-1-24-739)</f>
        <v>13</v>
      </c>
    </row>
    <row r="12" spans="1:14" ht="15">
      <c r="A12" s="4" t="s">
        <v>283</v>
      </c>
      <c r="B12" s="5">
        <f t="shared" si="0"/>
        <v>10639</v>
      </c>
      <c r="C12" s="4">
        <f>SUM(4832+243)</f>
        <v>5075</v>
      </c>
      <c r="D12" s="5">
        <v>89</v>
      </c>
      <c r="E12" s="4">
        <v>37</v>
      </c>
      <c r="F12" s="5">
        <v>136</v>
      </c>
      <c r="G12" s="5">
        <v>108</v>
      </c>
      <c r="H12" s="4">
        <v>74</v>
      </c>
      <c r="I12" s="5">
        <v>32</v>
      </c>
      <c r="J12" s="4">
        <v>20</v>
      </c>
      <c r="K12" s="4">
        <v>608</v>
      </c>
      <c r="L12" s="4">
        <v>53</v>
      </c>
      <c r="M12" s="4">
        <v>4294</v>
      </c>
      <c r="N12" s="4">
        <f>SUM(5737-53-20-32-74-108-136-37-89-5075)</f>
        <v>113</v>
      </c>
    </row>
    <row r="13" spans="1:14" ht="15">
      <c r="A13" s="4" t="s">
        <v>200</v>
      </c>
      <c r="B13" s="5">
        <f t="shared" si="0"/>
        <v>579</v>
      </c>
      <c r="C13" s="4">
        <v>14</v>
      </c>
      <c r="D13" s="5"/>
      <c r="E13" s="4"/>
      <c r="F13" s="5">
        <v>4</v>
      </c>
      <c r="G13" s="5"/>
      <c r="H13" s="4"/>
      <c r="I13" s="5"/>
      <c r="J13" s="4"/>
      <c r="K13" s="4">
        <v>82</v>
      </c>
      <c r="L13" s="4"/>
      <c r="M13" s="4">
        <v>479</v>
      </c>
      <c r="N13" s="4"/>
    </row>
    <row r="14" spans="1:14" ht="15">
      <c r="A14" s="4" t="s">
        <v>284</v>
      </c>
      <c r="B14" s="5">
        <f t="shared" si="0"/>
        <v>188</v>
      </c>
      <c r="C14" s="4">
        <v>113</v>
      </c>
      <c r="D14" s="5"/>
      <c r="E14" s="4"/>
      <c r="F14" s="5">
        <v>2</v>
      </c>
      <c r="G14" s="5"/>
      <c r="H14" s="4"/>
      <c r="I14" s="5"/>
      <c r="J14" s="4"/>
      <c r="K14" s="4">
        <v>23</v>
      </c>
      <c r="L14" s="4"/>
      <c r="M14" s="4">
        <v>50</v>
      </c>
      <c r="N14" s="4"/>
    </row>
    <row r="15" spans="1:14" ht="15">
      <c r="A15" s="4"/>
      <c r="B15" s="5"/>
      <c r="C15" s="4"/>
      <c r="D15" s="5"/>
      <c r="E15" s="4"/>
      <c r="F15" s="5"/>
      <c r="G15" s="5"/>
      <c r="H15" s="4"/>
      <c r="I15" s="5"/>
      <c r="J15" s="4"/>
      <c r="K15" s="4"/>
      <c r="L15" s="4"/>
      <c r="M15" s="4"/>
      <c r="N15" s="4"/>
    </row>
    <row r="16" spans="1:14" ht="15">
      <c r="A16" s="4" t="s">
        <v>9</v>
      </c>
      <c r="B16" s="5">
        <f>SUM(B9:B14)</f>
        <v>16674</v>
      </c>
      <c r="C16" s="4"/>
      <c r="D16" s="5"/>
      <c r="E16" s="4"/>
      <c r="F16" s="5"/>
      <c r="G16" s="5"/>
      <c r="H16" s="4"/>
      <c r="I16" s="5"/>
      <c r="J16" s="4"/>
      <c r="K16" s="4"/>
      <c r="L16" s="4"/>
      <c r="M16" s="4"/>
      <c r="N16" s="4"/>
    </row>
    <row r="18" ht="15">
      <c r="B18" s="2" t="s">
        <v>312</v>
      </c>
    </row>
    <row r="20" ht="15">
      <c r="B20" s="2" t="s">
        <v>313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75" right="0.75" top="1" bottom="1" header="0.5" footer="0.5"/>
  <pageSetup horizontalDpi="600" verticalDpi="600" orientation="landscape" scale="71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6"/>
  <sheetViews>
    <sheetView defaultGridColor="0" zoomScalePageLayoutView="0" colorId="8" workbookViewId="0" topLeftCell="A1">
      <selection activeCell="A5" sqref="A5:N5"/>
    </sheetView>
  </sheetViews>
  <sheetFormatPr defaultColWidth="8.88671875" defaultRowHeight="15"/>
  <cols>
    <col min="1" max="1" width="10.21484375" style="0" customWidth="1"/>
    <col min="2" max="2" width="8.6640625" style="0" customWidth="1"/>
    <col min="3" max="3" width="7.10546875" style="0" customWidth="1"/>
    <col min="4" max="4" width="6.88671875" style="0" customWidth="1"/>
    <col min="5" max="5" width="6.3359375" style="0" customWidth="1"/>
    <col min="6" max="6" width="5.6640625" style="0" customWidth="1"/>
    <col min="7" max="8" width="6.4453125" style="0" customWidth="1"/>
    <col min="10" max="10" width="5.77734375" style="0" customWidth="1"/>
    <col min="11" max="11" width="6.10546875" style="0" customWidth="1"/>
    <col min="13" max="13" width="6.99609375" style="0" customWidth="1"/>
    <col min="14" max="14" width="6.4453125" style="0" customWidth="1"/>
  </cols>
  <sheetData>
    <row r="1" spans="1:14" ht="18.75" customHeight="1">
      <c r="A1" s="36" t="s">
        <v>293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8.75" customHeight="1">
      <c r="A2" s="36" t="s">
        <v>311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ht="18.75">
      <c r="A3" s="1"/>
    </row>
    <row r="4" spans="1:14" ht="15">
      <c r="A4" s="34" t="s">
        <v>343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5">
      <c r="A5" s="34" t="s">
        <v>20</v>
      </c>
      <c r="B5" s="35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5">
      <c r="A6" s="34" t="s">
        <v>19</v>
      </c>
      <c r="B6" s="3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8" spans="1:14" ht="22.5">
      <c r="A8" s="3" t="s">
        <v>10</v>
      </c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310</v>
      </c>
      <c r="L8" s="9" t="s">
        <v>7</v>
      </c>
      <c r="M8" s="9" t="s">
        <v>305</v>
      </c>
      <c r="N8" s="3" t="s">
        <v>8</v>
      </c>
    </row>
    <row r="9" spans="1:14" ht="15">
      <c r="A9" s="4" t="s">
        <v>286</v>
      </c>
      <c r="B9" s="5">
        <f aca="true" t="shared" si="0" ref="B9:B20">SUM(C9:N9)</f>
        <v>643</v>
      </c>
      <c r="C9" s="4"/>
      <c r="D9" s="5"/>
      <c r="E9" s="4"/>
      <c r="F9" s="5">
        <v>4</v>
      </c>
      <c r="G9" s="5"/>
      <c r="H9" s="4"/>
      <c r="I9" s="5">
        <v>1</v>
      </c>
      <c r="J9" s="4"/>
      <c r="K9" s="4">
        <v>42</v>
      </c>
      <c r="L9" s="4"/>
      <c r="M9" s="4">
        <v>595</v>
      </c>
      <c r="N9" s="4">
        <v>1</v>
      </c>
    </row>
    <row r="10" spans="1:14" ht="15">
      <c r="A10" s="4" t="s">
        <v>240</v>
      </c>
      <c r="B10" s="5">
        <f t="shared" si="0"/>
        <v>59768</v>
      </c>
      <c r="C10" s="4">
        <f>SUM(20487+919)</f>
        <v>21406</v>
      </c>
      <c r="D10" s="5">
        <v>3190</v>
      </c>
      <c r="E10" s="4">
        <v>309</v>
      </c>
      <c r="F10" s="5">
        <v>71</v>
      </c>
      <c r="G10" s="5">
        <v>105</v>
      </c>
      <c r="H10" s="4">
        <v>156</v>
      </c>
      <c r="I10" s="5">
        <v>64</v>
      </c>
      <c r="J10" s="4">
        <v>59</v>
      </c>
      <c r="K10" s="4">
        <v>3060</v>
      </c>
      <c r="L10" s="4">
        <v>304</v>
      </c>
      <c r="M10" s="4">
        <v>30213</v>
      </c>
      <c r="N10" s="4">
        <f>SUM(26495-304-59-64-156-105-71-309-3190-21406)</f>
        <v>831</v>
      </c>
    </row>
    <row r="11" spans="1:14" ht="15">
      <c r="A11" s="4" t="s">
        <v>287</v>
      </c>
      <c r="B11" s="5">
        <f t="shared" si="0"/>
        <v>172</v>
      </c>
      <c r="C11" s="4">
        <v>85</v>
      </c>
      <c r="D11" s="5"/>
      <c r="E11" s="4"/>
      <c r="F11" s="5">
        <v>4</v>
      </c>
      <c r="G11" s="5"/>
      <c r="H11" s="4"/>
      <c r="I11" s="5"/>
      <c r="J11" s="4"/>
      <c r="K11" s="4">
        <v>19</v>
      </c>
      <c r="L11" s="4"/>
      <c r="M11" s="4">
        <v>64</v>
      </c>
      <c r="N11" s="4"/>
    </row>
    <row r="12" spans="1:14" ht="15">
      <c r="A12" s="4" t="s">
        <v>288</v>
      </c>
      <c r="B12" s="5">
        <f t="shared" si="0"/>
        <v>2303</v>
      </c>
      <c r="C12" s="4">
        <v>7</v>
      </c>
      <c r="D12" s="5">
        <v>1</v>
      </c>
      <c r="E12" s="4"/>
      <c r="F12" s="5">
        <v>49</v>
      </c>
      <c r="G12" s="5"/>
      <c r="H12" s="4"/>
      <c r="I12" s="5">
        <v>29</v>
      </c>
      <c r="J12" s="4"/>
      <c r="K12" s="4">
        <v>128</v>
      </c>
      <c r="L12" s="4">
        <v>24</v>
      </c>
      <c r="M12" s="4">
        <v>2061</v>
      </c>
      <c r="N12" s="4">
        <f>SUM(114-24-29-49-1-7)</f>
        <v>4</v>
      </c>
    </row>
    <row r="13" spans="1:14" ht="15">
      <c r="A13" s="4" t="s">
        <v>196</v>
      </c>
      <c r="B13" s="5">
        <f t="shared" si="0"/>
        <v>5107</v>
      </c>
      <c r="C13" s="4">
        <f>SUM(15+1549)</f>
        <v>1564</v>
      </c>
      <c r="D13" s="5">
        <v>75</v>
      </c>
      <c r="E13" s="4">
        <v>43</v>
      </c>
      <c r="F13" s="5">
        <v>339</v>
      </c>
      <c r="G13" s="5">
        <v>54</v>
      </c>
      <c r="H13" s="4">
        <v>27</v>
      </c>
      <c r="I13" s="5">
        <v>18</v>
      </c>
      <c r="J13" s="4">
        <v>5</v>
      </c>
      <c r="K13" s="4">
        <v>718</v>
      </c>
      <c r="L13" s="4">
        <v>85</v>
      </c>
      <c r="M13" s="4">
        <v>1834</v>
      </c>
      <c r="N13" s="4">
        <f>SUM(2555-85-5-18-27-54-339-43-75-1564)</f>
        <v>345</v>
      </c>
    </row>
    <row r="14" spans="1:14" ht="15">
      <c r="A14" s="4" t="s">
        <v>275</v>
      </c>
      <c r="B14" s="5">
        <f>SUM(C14:N14)</f>
        <v>298</v>
      </c>
      <c r="C14" s="4">
        <v>266</v>
      </c>
      <c r="D14" s="5"/>
      <c r="E14" s="4"/>
      <c r="F14" s="5">
        <v>6</v>
      </c>
      <c r="G14" s="5"/>
      <c r="H14" s="4"/>
      <c r="I14" s="5"/>
      <c r="J14" s="4"/>
      <c r="K14" s="4">
        <v>6</v>
      </c>
      <c r="L14" s="4"/>
      <c r="M14" s="4">
        <v>20</v>
      </c>
      <c r="N14" s="4"/>
    </row>
    <row r="15" spans="1:14" ht="15">
      <c r="A15" s="4" t="s">
        <v>289</v>
      </c>
      <c r="B15" s="5">
        <f t="shared" si="0"/>
        <v>141</v>
      </c>
      <c r="C15" s="4">
        <v>114</v>
      </c>
      <c r="D15" s="5"/>
      <c r="E15" s="4"/>
      <c r="F15" s="5">
        <v>1</v>
      </c>
      <c r="G15" s="5"/>
      <c r="H15" s="4"/>
      <c r="I15" s="5"/>
      <c r="J15" s="4"/>
      <c r="K15" s="4">
        <v>7</v>
      </c>
      <c r="L15" s="4"/>
      <c r="M15" s="4">
        <v>19</v>
      </c>
      <c r="N15" s="4"/>
    </row>
    <row r="16" spans="1:14" ht="15">
      <c r="A16" s="4" t="s">
        <v>290</v>
      </c>
      <c r="B16" s="5">
        <f t="shared" si="0"/>
        <v>11</v>
      </c>
      <c r="C16" s="4"/>
      <c r="D16" s="5"/>
      <c r="E16" s="4"/>
      <c r="F16" s="5">
        <v>1</v>
      </c>
      <c r="G16" s="5"/>
      <c r="H16" s="4"/>
      <c r="I16" s="5"/>
      <c r="J16" s="4"/>
      <c r="K16" s="4">
        <v>4</v>
      </c>
      <c r="L16" s="4"/>
      <c r="M16" s="4">
        <v>6</v>
      </c>
      <c r="N16" s="4"/>
    </row>
    <row r="17" spans="1:14" ht="15">
      <c r="A17" s="4" t="s">
        <v>278</v>
      </c>
      <c r="B17" s="5">
        <f t="shared" si="0"/>
        <v>743</v>
      </c>
      <c r="C17" s="4">
        <v>502</v>
      </c>
      <c r="D17" s="5"/>
      <c r="E17" s="4"/>
      <c r="F17" s="5">
        <v>19</v>
      </c>
      <c r="G17" s="5">
        <v>3</v>
      </c>
      <c r="H17" s="4">
        <v>6</v>
      </c>
      <c r="I17" s="5">
        <v>2</v>
      </c>
      <c r="J17" s="4"/>
      <c r="K17" s="4">
        <v>48</v>
      </c>
      <c r="L17" s="4"/>
      <c r="M17" s="4">
        <v>129</v>
      </c>
      <c r="N17" s="4">
        <f>SUM(566-2-6-3-19-502)</f>
        <v>34</v>
      </c>
    </row>
    <row r="18" spans="1:14" ht="15">
      <c r="A18" s="4" t="s">
        <v>267</v>
      </c>
      <c r="B18" s="5">
        <f t="shared" si="0"/>
        <v>3690</v>
      </c>
      <c r="C18" s="4">
        <v>2486</v>
      </c>
      <c r="D18" s="5">
        <v>21</v>
      </c>
      <c r="E18" s="4">
        <v>6</v>
      </c>
      <c r="F18" s="5">
        <v>37</v>
      </c>
      <c r="G18" s="5">
        <v>2</v>
      </c>
      <c r="H18" s="4">
        <v>47</v>
      </c>
      <c r="I18" s="5">
        <v>10</v>
      </c>
      <c r="J18" s="4">
        <v>2</v>
      </c>
      <c r="K18" s="4">
        <v>184</v>
      </c>
      <c r="L18" s="4">
        <v>36</v>
      </c>
      <c r="M18" s="4">
        <v>635</v>
      </c>
      <c r="N18" s="4">
        <f>SUM(2871-36-2-10-47-2-37-6-21-2486)</f>
        <v>224</v>
      </c>
    </row>
    <row r="19" spans="1:14" ht="15">
      <c r="A19" s="4" t="s">
        <v>291</v>
      </c>
      <c r="B19" s="5">
        <f t="shared" si="0"/>
        <v>800</v>
      </c>
      <c r="C19" s="4">
        <v>3</v>
      </c>
      <c r="D19" s="5"/>
      <c r="E19" s="4"/>
      <c r="F19" s="5">
        <v>3</v>
      </c>
      <c r="G19" s="5"/>
      <c r="H19" s="4"/>
      <c r="I19" s="5"/>
      <c r="J19" s="4"/>
      <c r="K19" s="4">
        <v>53</v>
      </c>
      <c r="L19" s="4"/>
      <c r="M19" s="4">
        <v>739</v>
      </c>
      <c r="N19" s="4">
        <v>2</v>
      </c>
    </row>
    <row r="20" spans="1:14" ht="15">
      <c r="A20" s="4" t="s">
        <v>292</v>
      </c>
      <c r="B20" s="5">
        <f t="shared" si="0"/>
        <v>233</v>
      </c>
      <c r="C20" s="4">
        <v>140</v>
      </c>
      <c r="D20" s="5"/>
      <c r="E20" s="4"/>
      <c r="F20" s="5">
        <v>23</v>
      </c>
      <c r="G20" s="5"/>
      <c r="H20" s="4"/>
      <c r="I20" s="5"/>
      <c r="J20" s="4"/>
      <c r="K20" s="4">
        <v>9</v>
      </c>
      <c r="L20" s="4"/>
      <c r="M20" s="4">
        <v>61</v>
      </c>
      <c r="N20" s="4"/>
    </row>
    <row r="21" spans="1:14" ht="15">
      <c r="A21" s="4"/>
      <c r="B21" s="5"/>
      <c r="C21" s="4"/>
      <c r="D21" s="5"/>
      <c r="E21" s="4"/>
      <c r="F21" s="5"/>
      <c r="G21" s="5"/>
      <c r="H21" s="4"/>
      <c r="I21" s="5"/>
      <c r="J21" s="4"/>
      <c r="K21" s="4"/>
      <c r="L21" s="4"/>
      <c r="M21" s="4"/>
      <c r="N21" s="4"/>
    </row>
    <row r="22" spans="1:14" ht="15">
      <c r="A22" s="4" t="s">
        <v>9</v>
      </c>
      <c r="B22" s="5">
        <f>SUM(B9:B20)</f>
        <v>73909</v>
      </c>
      <c r="C22" s="4"/>
      <c r="D22" s="5"/>
      <c r="E22" s="4"/>
      <c r="F22" s="5"/>
      <c r="G22" s="5"/>
      <c r="H22" s="4"/>
      <c r="I22" s="5"/>
      <c r="J22" s="4"/>
      <c r="K22" s="4"/>
      <c r="L22" s="4"/>
      <c r="M22" s="4"/>
      <c r="N22" s="4"/>
    </row>
    <row r="24" ht="15">
      <c r="B24" s="2" t="s">
        <v>312</v>
      </c>
    </row>
    <row r="26" ht="15">
      <c r="B26" s="2" t="s">
        <v>313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75" right="0.75" top="1" bottom="1" header="0.5" footer="0.5"/>
  <pageSetup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C9" sqref="C9:P9"/>
    </sheetView>
  </sheetViews>
  <sheetFormatPr defaultColWidth="8.88671875" defaultRowHeight="15"/>
  <cols>
    <col min="1" max="1" width="9.10546875" style="0" customWidth="1"/>
    <col min="2" max="2" width="7.6640625" style="0" customWidth="1"/>
    <col min="3" max="3" width="7.21484375" style="0" customWidth="1"/>
    <col min="4" max="4" width="6.3359375" style="0" customWidth="1"/>
    <col min="5" max="5" width="5.88671875" style="0" customWidth="1"/>
    <col min="6" max="6" width="5.3359375" style="0" customWidth="1"/>
    <col min="7" max="7" width="6.21484375" style="0" customWidth="1"/>
    <col min="8" max="8" width="5.88671875" style="0" customWidth="1"/>
    <col min="9" max="9" width="7.77734375" style="0" customWidth="1"/>
    <col min="10" max="10" width="6.3359375" style="0" customWidth="1"/>
    <col min="11" max="11" width="5.6640625" style="0" customWidth="1"/>
    <col min="12" max="12" width="4.10546875" style="0" customWidth="1"/>
    <col min="13" max="13" width="6.21484375" style="0" customWidth="1"/>
    <col min="14" max="15" width="6.77734375" style="0" customWidth="1"/>
    <col min="16" max="16" width="4.99609375" style="0" customWidth="1"/>
  </cols>
  <sheetData>
    <row r="1" spans="1:16" ht="18.75" customHeight="1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7"/>
      <c r="K1" s="37"/>
      <c r="L1" s="37"/>
      <c r="M1" s="37"/>
      <c r="N1" s="37"/>
      <c r="O1" s="37"/>
      <c r="P1" s="37"/>
    </row>
    <row r="2" spans="1:16" ht="18.75" customHeight="1">
      <c r="A2" s="36" t="s">
        <v>311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</row>
    <row r="3" ht="18.75">
      <c r="A3" s="1"/>
    </row>
    <row r="4" spans="1:16" ht="15">
      <c r="A4" s="34" t="s">
        <v>317</v>
      </c>
      <c r="B4" s="35"/>
      <c r="C4" s="35"/>
      <c r="D4" s="35"/>
      <c r="E4" s="35"/>
      <c r="F4" s="35"/>
      <c r="G4" s="35"/>
      <c r="H4" s="35"/>
      <c r="I4" s="35"/>
      <c r="J4" s="35"/>
      <c r="K4" s="37"/>
      <c r="L4" s="37"/>
      <c r="M4" s="37"/>
      <c r="N4" s="37"/>
      <c r="O4" s="37"/>
      <c r="P4" s="37"/>
    </row>
    <row r="5" spans="1:16" ht="15">
      <c r="A5" s="34" t="s">
        <v>15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7"/>
      <c r="M5" s="37"/>
      <c r="N5" s="37"/>
      <c r="O5" s="37"/>
      <c r="P5" s="37"/>
    </row>
    <row r="6" spans="1:16" ht="15">
      <c r="A6" s="34" t="s">
        <v>16</v>
      </c>
      <c r="B6" s="35"/>
      <c r="C6" s="35"/>
      <c r="D6" s="35"/>
      <c r="E6" s="35"/>
      <c r="F6" s="35"/>
      <c r="G6" s="35"/>
      <c r="H6" s="35"/>
      <c r="I6" s="35"/>
      <c r="J6" s="35"/>
      <c r="K6" s="37"/>
      <c r="L6" s="37"/>
      <c r="M6" s="37"/>
      <c r="N6" s="37"/>
      <c r="O6" s="37"/>
      <c r="P6" s="37"/>
    </row>
    <row r="7" ht="17.25" customHeight="1">
      <c r="B7" s="8"/>
    </row>
    <row r="8" spans="1:16" s="10" customFormat="1" ht="22.5">
      <c r="A8" s="3" t="s">
        <v>10</v>
      </c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13</v>
      </c>
      <c r="L8" s="3" t="s">
        <v>14</v>
      </c>
      <c r="M8" s="3" t="s">
        <v>310</v>
      </c>
      <c r="N8" s="9" t="s">
        <v>7</v>
      </c>
      <c r="O8" s="9" t="s">
        <v>305</v>
      </c>
      <c r="P8" s="3" t="s">
        <v>8</v>
      </c>
    </row>
    <row r="9" spans="1:16" ht="15">
      <c r="A9" s="4" t="s">
        <v>42</v>
      </c>
      <c r="B9" s="5">
        <f>SUM(C9:P9)</f>
        <v>37269</v>
      </c>
      <c r="C9" s="4">
        <f>SUM(746+3079)</f>
        <v>3825</v>
      </c>
      <c r="D9" s="5">
        <v>4281</v>
      </c>
      <c r="E9" s="4">
        <v>1256</v>
      </c>
      <c r="F9" s="5">
        <v>104</v>
      </c>
      <c r="G9" s="5">
        <v>124</v>
      </c>
      <c r="H9" s="4">
        <v>993</v>
      </c>
      <c r="I9" s="5">
        <v>143</v>
      </c>
      <c r="J9" s="4">
        <v>135</v>
      </c>
      <c r="K9" s="4">
        <v>3318</v>
      </c>
      <c r="L9" s="4">
        <v>56</v>
      </c>
      <c r="M9" s="4">
        <v>8378</v>
      </c>
      <c r="N9" s="4">
        <v>631</v>
      </c>
      <c r="O9" s="4">
        <v>12053</v>
      </c>
      <c r="P9" s="4">
        <f>SUM(16838-631-56-3318-135-143-993-124-104-1256-4281-3825)</f>
        <v>1972</v>
      </c>
    </row>
    <row r="10" spans="1:16" ht="15">
      <c r="A10" s="4" t="s">
        <v>24</v>
      </c>
      <c r="B10" s="5">
        <f>SUM(C10:P10)</f>
        <v>2808</v>
      </c>
      <c r="C10" s="4">
        <f>SUM(66+97)</f>
        <v>163</v>
      </c>
      <c r="D10" s="5">
        <v>63</v>
      </c>
      <c r="E10" s="4">
        <v>21</v>
      </c>
      <c r="F10" s="5">
        <v>32</v>
      </c>
      <c r="G10" s="5">
        <v>13</v>
      </c>
      <c r="H10" s="4">
        <v>76</v>
      </c>
      <c r="I10" s="5">
        <v>10</v>
      </c>
      <c r="J10" s="4">
        <v>5</v>
      </c>
      <c r="K10" s="4"/>
      <c r="L10" s="4"/>
      <c r="M10" s="4">
        <v>553</v>
      </c>
      <c r="N10" s="4">
        <v>63</v>
      </c>
      <c r="O10" s="4">
        <v>844</v>
      </c>
      <c r="P10" s="4">
        <f>SUM(1411-63-5-10-76-13-32-21-63-163)</f>
        <v>965</v>
      </c>
    </row>
    <row r="11" spans="1:16" ht="15">
      <c r="A11" s="4" t="s">
        <v>80</v>
      </c>
      <c r="B11" s="5">
        <f>SUM(C11:P11)</f>
        <v>278</v>
      </c>
      <c r="C11" s="4">
        <v>3</v>
      </c>
      <c r="D11" s="5"/>
      <c r="E11" s="4"/>
      <c r="F11" s="5">
        <v>3</v>
      </c>
      <c r="G11" s="5">
        <v>7</v>
      </c>
      <c r="H11" s="4">
        <v>1</v>
      </c>
      <c r="I11" s="5"/>
      <c r="J11" s="4"/>
      <c r="K11" s="4"/>
      <c r="L11" s="4"/>
      <c r="M11" s="4">
        <v>105</v>
      </c>
      <c r="N11" s="4"/>
      <c r="O11" s="4">
        <v>158</v>
      </c>
      <c r="P11" s="4">
        <v>1</v>
      </c>
    </row>
    <row r="12" spans="1:16" ht="15">
      <c r="A12" s="4"/>
      <c r="B12" s="5"/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  <c r="O12" s="4"/>
      <c r="P12" s="4"/>
    </row>
    <row r="13" spans="1:16" ht="15">
      <c r="A13" s="4" t="s">
        <v>9</v>
      </c>
      <c r="B13" s="5">
        <f>SUM(B9:B11)</f>
        <v>40355</v>
      </c>
      <c r="C13" s="4"/>
      <c r="D13" s="5"/>
      <c r="E13" s="4"/>
      <c r="F13" s="5"/>
      <c r="G13" s="5"/>
      <c r="H13" s="4"/>
      <c r="I13" s="5"/>
      <c r="J13" s="4"/>
      <c r="K13" s="4"/>
      <c r="L13" s="4"/>
      <c r="M13" s="4"/>
      <c r="N13" s="4"/>
      <c r="O13" s="4"/>
      <c r="P13" s="4"/>
    </row>
    <row r="14" ht="15">
      <c r="B14" s="2" t="s">
        <v>312</v>
      </c>
    </row>
    <row r="16" ht="15">
      <c r="B16" s="2" t="s">
        <v>313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81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6"/>
  <sheetViews>
    <sheetView defaultGridColor="0" zoomScalePageLayoutView="0" colorId="8" workbookViewId="0" topLeftCell="A1">
      <selection activeCell="A5" sqref="A5:P5"/>
    </sheetView>
  </sheetViews>
  <sheetFormatPr defaultColWidth="8.88671875" defaultRowHeight="15"/>
  <cols>
    <col min="1" max="1" width="7.4453125" style="0" customWidth="1"/>
    <col min="2" max="2" width="7.5546875" style="0" customWidth="1"/>
    <col min="3" max="3" width="7.3359375" style="0" customWidth="1"/>
    <col min="4" max="4" width="7.10546875" style="0" customWidth="1"/>
    <col min="5" max="5" width="5.6640625" style="0" customWidth="1"/>
    <col min="6" max="6" width="5.5546875" style="0" customWidth="1"/>
    <col min="7" max="7" width="6.88671875" style="0" customWidth="1"/>
    <col min="8" max="8" width="5.77734375" style="0" customWidth="1"/>
    <col min="9" max="9" width="7.5546875" style="0" customWidth="1"/>
    <col min="10" max="10" width="5.6640625" style="0" customWidth="1"/>
    <col min="11" max="11" width="4.99609375" style="0" customWidth="1"/>
    <col min="12" max="12" width="3.99609375" style="0" customWidth="1"/>
    <col min="13" max="13" width="6.3359375" style="0" customWidth="1"/>
    <col min="14" max="15" width="6.88671875" style="0" customWidth="1"/>
    <col min="16" max="16" width="5.10546875" style="0" customWidth="1"/>
  </cols>
  <sheetData>
    <row r="1" spans="1:16" ht="18.75" customHeight="1">
      <c r="A1" s="36" t="s">
        <v>294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</row>
    <row r="2" spans="1:16" ht="18.75" customHeight="1">
      <c r="A2" s="36" t="s">
        <v>311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  <c r="P2" s="37"/>
    </row>
    <row r="3" ht="18.75">
      <c r="A3" s="1"/>
    </row>
    <row r="4" spans="1:16" ht="15">
      <c r="A4" s="34" t="s">
        <v>344</v>
      </c>
      <c r="B4" s="35"/>
      <c r="C4" s="35"/>
      <c r="D4" s="35"/>
      <c r="E4" s="35"/>
      <c r="F4" s="35"/>
      <c r="G4" s="35"/>
      <c r="H4" s="35"/>
      <c r="I4" s="35"/>
      <c r="J4" s="37"/>
      <c r="K4" s="37"/>
      <c r="L4" s="37"/>
      <c r="M4" s="37"/>
      <c r="N4" s="37"/>
      <c r="O4" s="37"/>
      <c r="P4" s="37"/>
    </row>
    <row r="5" spans="1:16" ht="15">
      <c r="A5" s="34" t="s">
        <v>20</v>
      </c>
      <c r="B5" s="35"/>
      <c r="C5" s="35"/>
      <c r="D5" s="35"/>
      <c r="E5" s="35"/>
      <c r="F5" s="35"/>
      <c r="G5" s="35"/>
      <c r="H5" s="35"/>
      <c r="I5" s="35"/>
      <c r="J5" s="37"/>
      <c r="K5" s="37"/>
      <c r="L5" s="37"/>
      <c r="M5" s="37"/>
      <c r="N5" s="37"/>
      <c r="O5" s="37"/>
      <c r="P5" s="37"/>
    </row>
    <row r="6" spans="1:16" ht="15">
      <c r="A6" s="34" t="s">
        <v>19</v>
      </c>
      <c r="B6" s="35"/>
      <c r="C6" s="35"/>
      <c r="D6" s="35"/>
      <c r="E6" s="35"/>
      <c r="F6" s="35"/>
      <c r="G6" s="35"/>
      <c r="H6" s="35"/>
      <c r="I6" s="35"/>
      <c r="J6" s="37"/>
      <c r="K6" s="37"/>
      <c r="L6" s="37"/>
      <c r="M6" s="37"/>
      <c r="N6" s="37"/>
      <c r="O6" s="37"/>
      <c r="P6" s="37"/>
    </row>
    <row r="8" spans="1:10" s="10" customFormat="1" ht="15">
      <c r="A8"/>
      <c r="B8" s="8"/>
      <c r="C8"/>
      <c r="D8"/>
      <c r="E8"/>
      <c r="F8"/>
      <c r="G8"/>
      <c r="H8"/>
      <c r="I8"/>
      <c r="J8"/>
    </row>
    <row r="9" spans="1:16" ht="22.5">
      <c r="A9" s="3" t="s">
        <v>10</v>
      </c>
      <c r="B9" s="9" t="s">
        <v>0</v>
      </c>
      <c r="C9" s="9" t="s">
        <v>309</v>
      </c>
      <c r="D9" s="9" t="s">
        <v>1</v>
      </c>
      <c r="E9" s="3" t="s">
        <v>2</v>
      </c>
      <c r="F9" s="9" t="s">
        <v>11</v>
      </c>
      <c r="G9" s="3" t="s">
        <v>3</v>
      </c>
      <c r="H9" s="3" t="s">
        <v>4</v>
      </c>
      <c r="I9" s="3" t="s">
        <v>5</v>
      </c>
      <c r="J9" s="3" t="s">
        <v>6</v>
      </c>
      <c r="K9" s="3" t="s">
        <v>13</v>
      </c>
      <c r="L9" s="3" t="s">
        <v>14</v>
      </c>
      <c r="M9" s="3" t="s">
        <v>310</v>
      </c>
      <c r="N9" s="9" t="s">
        <v>7</v>
      </c>
      <c r="O9" s="9" t="s">
        <v>305</v>
      </c>
      <c r="P9" s="3" t="s">
        <v>8</v>
      </c>
    </row>
    <row r="10" spans="1:16" ht="15">
      <c r="A10" s="4" t="s">
        <v>42</v>
      </c>
      <c r="B10" s="5">
        <f>SUM(C10:P10)</f>
        <v>37269</v>
      </c>
      <c r="C10" s="4">
        <f>SUM(746+3079)</f>
        <v>3825</v>
      </c>
      <c r="D10" s="5">
        <v>4281</v>
      </c>
      <c r="E10" s="4">
        <v>1256</v>
      </c>
      <c r="F10" s="5">
        <v>104</v>
      </c>
      <c r="G10" s="5">
        <v>124</v>
      </c>
      <c r="H10" s="4">
        <v>993</v>
      </c>
      <c r="I10" s="5">
        <v>143</v>
      </c>
      <c r="J10" s="4">
        <v>135</v>
      </c>
      <c r="K10" s="4">
        <v>3318</v>
      </c>
      <c r="L10" s="4">
        <v>56</v>
      </c>
      <c r="M10" s="4">
        <v>8378</v>
      </c>
      <c r="N10" s="4">
        <v>631</v>
      </c>
      <c r="O10" s="4">
        <v>12053</v>
      </c>
      <c r="P10" s="4">
        <f>SUM(16838-631-56-3318-135-143-993-124-104-1256-4281-3825)</f>
        <v>1972</v>
      </c>
    </row>
    <row r="11" spans="1:16" ht="15">
      <c r="A11" s="4"/>
      <c r="B11" s="5"/>
      <c r="C11" s="4"/>
      <c r="D11" s="5"/>
      <c r="E11" s="4"/>
      <c r="F11" s="5"/>
      <c r="G11" s="5"/>
      <c r="H11" s="4"/>
      <c r="I11" s="5"/>
      <c r="J11" s="4"/>
      <c r="K11" s="4"/>
      <c r="L11" s="4"/>
      <c r="M11" s="4"/>
      <c r="N11" s="4"/>
      <c r="O11" s="4"/>
      <c r="P11" s="4"/>
    </row>
    <row r="12" spans="1:16" ht="15">
      <c r="A12" s="4" t="s">
        <v>9</v>
      </c>
      <c r="B12" s="5">
        <f>SUM(B10:B11)</f>
        <v>37269</v>
      </c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  <c r="O12" s="4"/>
      <c r="P12" s="4"/>
    </row>
    <row r="13" spans="1:11" ht="15">
      <c r="A13" s="12"/>
      <c r="B13" s="13"/>
      <c r="C13" s="13"/>
      <c r="D13" s="12"/>
      <c r="E13" s="13"/>
      <c r="F13" s="13"/>
      <c r="G13" s="12"/>
      <c r="H13" s="13"/>
      <c r="I13" s="12"/>
      <c r="J13" s="12"/>
      <c r="K13" s="12"/>
    </row>
    <row r="14" ht="15">
      <c r="B14" s="2" t="s">
        <v>312</v>
      </c>
    </row>
    <row r="16" ht="13.5" customHeight="1">
      <c r="B16" s="2" t="s">
        <v>313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86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15"/>
  <sheetViews>
    <sheetView defaultGridColor="0" zoomScalePageLayoutView="0" colorId="8" workbookViewId="0" topLeftCell="A1">
      <selection activeCell="C9" sqref="C9:P9"/>
    </sheetView>
  </sheetViews>
  <sheetFormatPr defaultColWidth="8.88671875" defaultRowHeight="15"/>
  <cols>
    <col min="1" max="1" width="8.3359375" style="0" customWidth="1"/>
    <col min="2" max="2" width="7.77734375" style="0" customWidth="1"/>
    <col min="3" max="3" width="7.4453125" style="0" customWidth="1"/>
    <col min="4" max="4" width="7.10546875" style="0" customWidth="1"/>
    <col min="5" max="5" width="5.99609375" style="0" customWidth="1"/>
    <col min="6" max="6" width="5.6640625" style="0" customWidth="1"/>
    <col min="7" max="7" width="6.99609375" style="0" customWidth="1"/>
    <col min="8" max="8" width="6.3359375" style="0" customWidth="1"/>
    <col min="9" max="9" width="7.4453125" style="0" customWidth="1"/>
    <col min="10" max="10" width="5.3359375" style="0" customWidth="1"/>
    <col min="11" max="11" width="6.4453125" style="0" customWidth="1"/>
    <col min="12" max="12" width="4.5546875" style="0" customWidth="1"/>
    <col min="13" max="15" width="6.5546875" style="0" customWidth="1"/>
    <col min="16" max="16" width="5.4453125" style="0" customWidth="1"/>
  </cols>
  <sheetData>
    <row r="1" spans="1:16" ht="18.75" customHeight="1">
      <c r="A1" s="36" t="s">
        <v>295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8.75" customHeight="1">
      <c r="A2" s="36" t="s">
        <v>311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ht="18.75">
      <c r="A3" s="1"/>
    </row>
    <row r="4" spans="1:16" ht="15">
      <c r="A4" s="34" t="s">
        <v>345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">
      <c r="A5" s="34" t="s">
        <v>20</v>
      </c>
      <c r="B5" s="35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">
      <c r="A6" s="34" t="s">
        <v>19</v>
      </c>
      <c r="B6" s="3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8" spans="1:16" ht="22.5">
      <c r="A8" s="3" t="s">
        <v>10</v>
      </c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9" t="s">
        <v>314</v>
      </c>
      <c r="L8" s="9" t="s">
        <v>13</v>
      </c>
      <c r="M8" s="3" t="s">
        <v>310</v>
      </c>
      <c r="N8" s="9" t="s">
        <v>7</v>
      </c>
      <c r="O8" s="9" t="s">
        <v>305</v>
      </c>
      <c r="P8" s="3" t="s">
        <v>8</v>
      </c>
    </row>
    <row r="9" spans="1:16" ht="15">
      <c r="A9" s="4" t="s">
        <v>45</v>
      </c>
      <c r="B9" s="5">
        <f>SUM(C9:P9)</f>
        <v>34652</v>
      </c>
      <c r="C9" s="4">
        <f>SUM(855+2375)</f>
        <v>3230</v>
      </c>
      <c r="D9" s="5">
        <v>4135</v>
      </c>
      <c r="E9" s="4">
        <v>2496</v>
      </c>
      <c r="F9" s="5">
        <v>221</v>
      </c>
      <c r="G9" s="5">
        <v>24</v>
      </c>
      <c r="H9" s="4">
        <v>151</v>
      </c>
      <c r="I9" s="5">
        <v>330</v>
      </c>
      <c r="J9" s="4">
        <v>553</v>
      </c>
      <c r="K9" s="4">
        <v>10</v>
      </c>
      <c r="L9" s="4">
        <v>826</v>
      </c>
      <c r="M9" s="4">
        <v>8092</v>
      </c>
      <c r="N9" s="4">
        <v>1033</v>
      </c>
      <c r="O9" s="4">
        <v>9579</v>
      </c>
      <c r="P9" s="4">
        <f>SUM(16981-1033-826-10-553-330-151-24-221-2496-4135-3230)</f>
        <v>3972</v>
      </c>
    </row>
    <row r="10" spans="1:16" ht="15">
      <c r="A10" s="4"/>
      <c r="B10" s="5"/>
      <c r="C10" s="4"/>
      <c r="D10" s="5"/>
      <c r="E10" s="4"/>
      <c r="F10" s="5"/>
      <c r="G10" s="5"/>
      <c r="H10" s="4"/>
      <c r="I10" s="5"/>
      <c r="J10" s="4"/>
      <c r="K10" s="4"/>
      <c r="L10" s="4"/>
      <c r="M10" s="4"/>
      <c r="N10" s="4"/>
      <c r="O10" s="4"/>
      <c r="P10" s="4"/>
    </row>
    <row r="11" spans="1:16" ht="15">
      <c r="A11" s="4" t="s">
        <v>9</v>
      </c>
      <c r="B11" s="5">
        <f>SUM(B9:B9)</f>
        <v>34652</v>
      </c>
      <c r="C11" s="4"/>
      <c r="D11" s="5"/>
      <c r="E11" s="4"/>
      <c r="F11" s="5"/>
      <c r="G11" s="5"/>
      <c r="H11" s="4"/>
      <c r="I11" s="5"/>
      <c r="J11" s="4"/>
      <c r="K11" s="4"/>
      <c r="L11" s="4"/>
      <c r="M11" s="4"/>
      <c r="N11" s="4"/>
      <c r="O11" s="4"/>
      <c r="P11" s="4"/>
    </row>
    <row r="13" ht="15">
      <c r="B13" s="2" t="s">
        <v>312</v>
      </c>
    </row>
    <row r="15" ht="15">
      <c r="B15" s="2" t="s">
        <v>313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71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2"/>
  <sheetViews>
    <sheetView defaultGridColor="0" zoomScalePageLayoutView="0" colorId="8" workbookViewId="0" topLeftCell="A1">
      <selection activeCell="A5" sqref="A5:M5"/>
    </sheetView>
  </sheetViews>
  <sheetFormatPr defaultColWidth="8.88671875" defaultRowHeight="15"/>
  <cols>
    <col min="1" max="1" width="10.21484375" style="0" customWidth="1"/>
    <col min="2" max="2" width="7.88671875" style="0" customWidth="1"/>
    <col min="3" max="3" width="6.77734375" style="0" customWidth="1"/>
    <col min="4" max="4" width="6.4453125" style="0" customWidth="1"/>
    <col min="5" max="5" width="6.3359375" style="0" customWidth="1"/>
    <col min="6" max="6" width="5.4453125" style="0" customWidth="1"/>
    <col min="7" max="8" width="6.5546875" style="0" customWidth="1"/>
    <col min="10" max="10" width="7.3359375" style="0" customWidth="1"/>
    <col min="13" max="13" width="6.6640625" style="0" customWidth="1"/>
  </cols>
  <sheetData>
    <row r="1" spans="1:13" ht="18.75" customHeight="1">
      <c r="A1" s="36" t="s">
        <v>302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8.75" customHeight="1">
      <c r="A2" s="36" t="s">
        <v>311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ht="18.75">
      <c r="A3" s="1"/>
    </row>
    <row r="4" spans="1:13" ht="15">
      <c r="A4" s="34" t="s">
        <v>347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5">
      <c r="A5" s="34" t="s">
        <v>20</v>
      </c>
      <c r="B5" s="35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">
      <c r="A6" s="34" t="s">
        <v>19</v>
      </c>
      <c r="B6" s="3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13" ht="22.5">
      <c r="A8" s="3" t="s">
        <v>10</v>
      </c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310</v>
      </c>
      <c r="K8" s="9" t="s">
        <v>7</v>
      </c>
      <c r="L8" s="9" t="s">
        <v>305</v>
      </c>
      <c r="M8" s="3" t="s">
        <v>8</v>
      </c>
    </row>
    <row r="9" spans="1:13" ht="15">
      <c r="A9" s="4" t="s">
        <v>296</v>
      </c>
      <c r="B9" s="5">
        <f aca="true" t="shared" si="0" ref="B9:B16">SUM(C9:M9)</f>
        <v>13607</v>
      </c>
      <c r="C9" s="4">
        <f>SUM(6384+39)</f>
        <v>6423</v>
      </c>
      <c r="D9" s="5">
        <v>2450</v>
      </c>
      <c r="E9" s="4"/>
      <c r="F9" s="5">
        <v>256</v>
      </c>
      <c r="G9" s="5">
        <v>1</v>
      </c>
      <c r="H9" s="4">
        <v>3</v>
      </c>
      <c r="I9" s="5">
        <v>8</v>
      </c>
      <c r="J9" s="5">
        <v>355</v>
      </c>
      <c r="K9" s="4">
        <v>35</v>
      </c>
      <c r="L9" s="4">
        <v>4067</v>
      </c>
      <c r="M9" s="4">
        <f>SUM(9185-35-8-3-1-256-2450-6423)</f>
        <v>9</v>
      </c>
    </row>
    <row r="10" spans="1:13" ht="15">
      <c r="A10" s="4" t="s">
        <v>297</v>
      </c>
      <c r="B10" s="5">
        <f t="shared" si="0"/>
        <v>1160</v>
      </c>
      <c r="C10" s="4">
        <v>112</v>
      </c>
      <c r="D10" s="5"/>
      <c r="E10" s="4"/>
      <c r="F10" s="5">
        <v>3</v>
      </c>
      <c r="G10" s="5"/>
      <c r="H10" s="4"/>
      <c r="I10" s="5">
        <v>1</v>
      </c>
      <c r="J10" s="5">
        <v>79</v>
      </c>
      <c r="K10" s="4"/>
      <c r="L10" s="4">
        <v>963</v>
      </c>
      <c r="M10" s="4">
        <v>2</v>
      </c>
    </row>
    <row r="11" spans="1:13" ht="15">
      <c r="A11" s="4" t="s">
        <v>298</v>
      </c>
      <c r="B11" s="5">
        <f t="shared" si="0"/>
        <v>310</v>
      </c>
      <c r="C11" s="4">
        <v>2</v>
      </c>
      <c r="D11" s="5"/>
      <c r="E11" s="4"/>
      <c r="F11" s="5">
        <v>20</v>
      </c>
      <c r="G11" s="5"/>
      <c r="H11" s="4"/>
      <c r="I11" s="5"/>
      <c r="J11" s="5">
        <v>55</v>
      </c>
      <c r="K11" s="4"/>
      <c r="L11" s="4">
        <v>233</v>
      </c>
      <c r="M11" s="4"/>
    </row>
    <row r="12" spans="1:13" ht="15">
      <c r="A12" s="4" t="s">
        <v>299</v>
      </c>
      <c r="B12" s="5">
        <f t="shared" si="0"/>
        <v>295</v>
      </c>
      <c r="C12" s="4">
        <v>1</v>
      </c>
      <c r="D12" s="5"/>
      <c r="E12" s="4"/>
      <c r="F12" s="5">
        <v>9</v>
      </c>
      <c r="G12" s="5"/>
      <c r="H12" s="4"/>
      <c r="I12" s="5">
        <v>1</v>
      </c>
      <c r="J12" s="5">
        <v>30</v>
      </c>
      <c r="K12" s="4"/>
      <c r="L12" s="4">
        <v>254</v>
      </c>
      <c r="M12" s="4"/>
    </row>
    <row r="13" spans="1:13" ht="15">
      <c r="A13" s="4" t="s">
        <v>25</v>
      </c>
      <c r="B13" s="5">
        <f t="shared" si="0"/>
        <v>116</v>
      </c>
      <c r="C13" s="4">
        <v>1</v>
      </c>
      <c r="D13" s="5"/>
      <c r="E13" s="4"/>
      <c r="F13" s="5">
        <v>4</v>
      </c>
      <c r="G13" s="5"/>
      <c r="H13" s="4"/>
      <c r="I13" s="5"/>
      <c r="J13" s="5">
        <v>22</v>
      </c>
      <c r="K13" s="4"/>
      <c r="L13" s="4">
        <v>89</v>
      </c>
      <c r="M13" s="4"/>
    </row>
    <row r="14" spans="1:13" ht="15">
      <c r="A14" s="4" t="s">
        <v>300</v>
      </c>
      <c r="B14" s="5">
        <f t="shared" si="0"/>
        <v>212</v>
      </c>
      <c r="C14" s="4"/>
      <c r="D14" s="5"/>
      <c r="E14" s="4"/>
      <c r="F14" s="5">
        <v>3</v>
      </c>
      <c r="G14" s="5"/>
      <c r="H14" s="4"/>
      <c r="I14" s="5">
        <v>1</v>
      </c>
      <c r="J14" s="5">
        <v>49</v>
      </c>
      <c r="K14" s="4"/>
      <c r="L14" s="4">
        <v>158</v>
      </c>
      <c r="M14" s="4">
        <v>1</v>
      </c>
    </row>
    <row r="15" spans="1:13" ht="15">
      <c r="A15" s="4" t="s">
        <v>211</v>
      </c>
      <c r="B15" s="5">
        <f t="shared" si="0"/>
        <v>130</v>
      </c>
      <c r="C15" s="4"/>
      <c r="D15" s="5"/>
      <c r="E15" s="4"/>
      <c r="F15" s="5">
        <v>4</v>
      </c>
      <c r="G15" s="5"/>
      <c r="H15" s="4"/>
      <c r="I15" s="5"/>
      <c r="J15" s="5">
        <v>36</v>
      </c>
      <c r="K15" s="4"/>
      <c r="L15" s="4">
        <v>90</v>
      </c>
      <c r="M15" s="4"/>
    </row>
    <row r="16" spans="1:13" ht="15">
      <c r="A16" s="4" t="s">
        <v>301</v>
      </c>
      <c r="B16" s="5">
        <f t="shared" si="0"/>
        <v>4210</v>
      </c>
      <c r="C16" s="4">
        <v>78</v>
      </c>
      <c r="D16" s="5">
        <v>28</v>
      </c>
      <c r="E16" s="4">
        <v>1</v>
      </c>
      <c r="F16" s="5">
        <v>16</v>
      </c>
      <c r="G16" s="5">
        <v>1</v>
      </c>
      <c r="H16" s="4">
        <v>2</v>
      </c>
      <c r="I16" s="5">
        <v>17</v>
      </c>
      <c r="J16" s="5">
        <v>1380</v>
      </c>
      <c r="K16" s="4">
        <v>23</v>
      </c>
      <c r="L16" s="4">
        <v>2642</v>
      </c>
      <c r="M16" s="4">
        <f>SUM(188-23-17-2-1-16-1-28-78)</f>
        <v>22</v>
      </c>
    </row>
    <row r="17" spans="1:13" ht="15">
      <c r="A17" s="4"/>
      <c r="B17" s="5"/>
      <c r="C17" s="4"/>
      <c r="D17" s="5"/>
      <c r="E17" s="4"/>
      <c r="F17" s="5"/>
      <c r="G17" s="5"/>
      <c r="H17" s="4"/>
      <c r="I17" s="5"/>
      <c r="J17" s="5"/>
      <c r="K17" s="4"/>
      <c r="L17" s="4"/>
      <c r="M17" s="4"/>
    </row>
    <row r="18" spans="1:13" ht="15">
      <c r="A18" s="4" t="s">
        <v>9</v>
      </c>
      <c r="B18" s="5">
        <f>SUM(B9:B16)</f>
        <v>20040</v>
      </c>
      <c r="C18" s="4"/>
      <c r="D18" s="5"/>
      <c r="E18" s="4"/>
      <c r="F18" s="5"/>
      <c r="G18" s="5"/>
      <c r="H18" s="4"/>
      <c r="I18" s="5"/>
      <c r="J18" s="5"/>
      <c r="K18" s="4"/>
      <c r="L18" s="4"/>
      <c r="M18" s="4"/>
    </row>
    <row r="20" ht="15">
      <c r="B20" s="2" t="s">
        <v>312</v>
      </c>
    </row>
    <row r="22" ht="15">
      <c r="B22" s="2" t="s">
        <v>313</v>
      </c>
    </row>
  </sheetData>
  <sheetProtection/>
  <mergeCells count="5">
    <mergeCell ref="A6:M6"/>
    <mergeCell ref="A1:M1"/>
    <mergeCell ref="A2:M2"/>
    <mergeCell ref="A4:M4"/>
    <mergeCell ref="A5:M5"/>
  </mergeCells>
  <printOptions horizontalCentered="1"/>
  <pageMargins left="0.75" right="0.75" top="1" bottom="1" header="0.5" footer="0.5"/>
  <pageSetup horizontalDpi="600" verticalDpi="600" orientation="landscape" scale="71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15"/>
  <sheetViews>
    <sheetView defaultGridColor="0" zoomScalePageLayoutView="0" colorId="8" workbookViewId="0" topLeftCell="A1">
      <selection activeCell="A5" sqref="A5:P5"/>
    </sheetView>
  </sheetViews>
  <sheetFormatPr defaultColWidth="8.88671875" defaultRowHeight="15"/>
  <cols>
    <col min="1" max="1" width="6.88671875" style="0" customWidth="1"/>
    <col min="2" max="2" width="8.5546875" style="0" customWidth="1"/>
    <col min="3" max="3" width="7.21484375" style="0" customWidth="1"/>
    <col min="4" max="4" width="7.6640625" style="0" customWidth="1"/>
    <col min="5" max="5" width="5.77734375" style="0" customWidth="1"/>
    <col min="6" max="6" width="5.88671875" style="0" customWidth="1"/>
    <col min="7" max="7" width="7.3359375" style="0" customWidth="1"/>
    <col min="8" max="8" width="6.88671875" style="0" customWidth="1"/>
    <col min="9" max="9" width="7.3359375" style="0" customWidth="1"/>
    <col min="10" max="10" width="5.6640625" style="0" customWidth="1"/>
    <col min="11" max="11" width="6.5546875" style="0" customWidth="1"/>
    <col min="12" max="12" width="4.6640625" style="0" customWidth="1"/>
    <col min="13" max="13" width="6.21484375" style="0" customWidth="1"/>
    <col min="14" max="15" width="7.21484375" style="0" customWidth="1"/>
    <col min="16" max="16" width="5.10546875" style="0" customWidth="1"/>
  </cols>
  <sheetData>
    <row r="1" spans="1:16" ht="18.75" customHeight="1">
      <c r="A1" s="36" t="s">
        <v>303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8.75" customHeight="1">
      <c r="A2" s="36" t="s">
        <v>311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ht="18.75">
      <c r="A3" s="1"/>
    </row>
    <row r="4" spans="1:16" ht="15">
      <c r="A4" s="34" t="s">
        <v>346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">
      <c r="A5" s="34" t="s">
        <v>20</v>
      </c>
      <c r="B5" s="35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">
      <c r="A6" s="34" t="s">
        <v>19</v>
      </c>
      <c r="B6" s="3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8" spans="1:16" ht="22.5">
      <c r="A8" s="3" t="s">
        <v>10</v>
      </c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9" t="s">
        <v>314</v>
      </c>
      <c r="L8" s="9" t="s">
        <v>13</v>
      </c>
      <c r="M8" s="3" t="s">
        <v>310</v>
      </c>
      <c r="N8" s="9" t="s">
        <v>7</v>
      </c>
      <c r="O8" s="9" t="s">
        <v>305</v>
      </c>
      <c r="P8" s="3" t="s">
        <v>8</v>
      </c>
    </row>
    <row r="9" spans="1:16" ht="15">
      <c r="A9" s="4" t="s">
        <v>45</v>
      </c>
      <c r="B9" s="5">
        <f>SUM(C9:P9)</f>
        <v>34652</v>
      </c>
      <c r="C9" s="4">
        <f>SUM(855+2375)</f>
        <v>3230</v>
      </c>
      <c r="D9" s="5">
        <v>4135</v>
      </c>
      <c r="E9" s="4">
        <v>2496</v>
      </c>
      <c r="F9" s="5">
        <v>221</v>
      </c>
      <c r="G9" s="5">
        <v>24</v>
      </c>
      <c r="H9" s="4">
        <v>151</v>
      </c>
      <c r="I9" s="5">
        <v>330</v>
      </c>
      <c r="J9" s="4">
        <v>553</v>
      </c>
      <c r="K9" s="4">
        <v>10</v>
      </c>
      <c r="L9" s="4">
        <v>826</v>
      </c>
      <c r="M9" s="4">
        <v>8092</v>
      </c>
      <c r="N9" s="4">
        <v>1033</v>
      </c>
      <c r="O9" s="4">
        <v>9579</v>
      </c>
      <c r="P9" s="4">
        <f>SUM(16981-1033-826-10-553-330-151-24-221-2496-4135-3230)</f>
        <v>3972</v>
      </c>
    </row>
    <row r="10" spans="1:16" ht="15">
      <c r="A10" s="4"/>
      <c r="B10" s="5"/>
      <c r="C10" s="4"/>
      <c r="D10" s="5"/>
      <c r="E10" s="4"/>
      <c r="F10" s="5"/>
      <c r="G10" s="5"/>
      <c r="H10" s="4"/>
      <c r="I10" s="5"/>
      <c r="J10" s="4"/>
      <c r="K10" s="4"/>
      <c r="L10" s="4"/>
      <c r="M10" s="4"/>
      <c r="N10" s="4"/>
      <c r="O10" s="4"/>
      <c r="P10" s="4"/>
    </row>
    <row r="11" spans="1:16" ht="15">
      <c r="A11" s="4" t="s">
        <v>9</v>
      </c>
      <c r="B11" s="5">
        <f>SUM(B9:B10)</f>
        <v>34652</v>
      </c>
      <c r="C11" s="4"/>
      <c r="D11" s="5"/>
      <c r="E11" s="4"/>
      <c r="F11" s="5"/>
      <c r="G11" s="5"/>
      <c r="H11" s="4"/>
      <c r="I11" s="5"/>
      <c r="J11" s="4"/>
      <c r="K11" s="4"/>
      <c r="L11" s="4"/>
      <c r="M11" s="4"/>
      <c r="N11" s="4"/>
      <c r="O11" s="4"/>
      <c r="P11" s="4"/>
    </row>
    <row r="13" ht="15">
      <c r="B13" s="2" t="s">
        <v>312</v>
      </c>
    </row>
    <row r="15" ht="15">
      <c r="B15" s="2" t="s">
        <v>313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C10" sqref="C10:P10"/>
    </sheetView>
  </sheetViews>
  <sheetFormatPr defaultColWidth="8.88671875" defaultRowHeight="15"/>
  <cols>
    <col min="1" max="2" width="8.10546875" style="0" customWidth="1"/>
    <col min="3" max="3" width="6.6640625" style="0" customWidth="1"/>
    <col min="4" max="4" width="6.3359375" style="0" customWidth="1"/>
    <col min="5" max="5" width="5.88671875" style="0" customWidth="1"/>
    <col min="6" max="6" width="4.6640625" style="0" customWidth="1"/>
    <col min="7" max="8" width="5.88671875" style="0" customWidth="1"/>
    <col min="9" max="9" width="7.3359375" style="0" customWidth="1"/>
    <col min="10" max="10" width="5.10546875" style="0" customWidth="1"/>
    <col min="11" max="11" width="7.10546875" style="0" customWidth="1"/>
    <col min="12" max="12" width="4.21484375" style="0" customWidth="1"/>
    <col min="13" max="13" width="6.10546875" style="0" customWidth="1"/>
    <col min="14" max="15" width="7.21484375" style="0" customWidth="1"/>
    <col min="16" max="16" width="5.3359375" style="0" customWidth="1"/>
  </cols>
  <sheetData>
    <row r="1" spans="1:16" ht="18.75" customHeight="1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  <c r="O1" s="37"/>
      <c r="P1" s="37"/>
    </row>
    <row r="2" spans="1:16" ht="18.75" customHeight="1">
      <c r="A2" s="36" t="s">
        <v>311</v>
      </c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  <c r="M2" s="37"/>
      <c r="N2" s="37"/>
      <c r="O2" s="37"/>
      <c r="P2" s="37"/>
    </row>
    <row r="3" ht="18.75">
      <c r="A3" s="1"/>
    </row>
    <row r="4" spans="1:16" ht="15">
      <c r="A4" s="34" t="s">
        <v>318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7"/>
      <c r="M4" s="37"/>
      <c r="N4" s="37"/>
      <c r="O4" s="37"/>
      <c r="P4" s="37"/>
    </row>
    <row r="5" spans="1:16" ht="15">
      <c r="A5" s="34" t="s">
        <v>15</v>
      </c>
      <c r="B5" s="35"/>
      <c r="C5" s="35"/>
      <c r="D5" s="35"/>
      <c r="E5" s="35"/>
      <c r="F5" s="35"/>
      <c r="G5" s="35"/>
      <c r="H5" s="35"/>
      <c r="I5" s="35"/>
      <c r="J5" s="35"/>
      <c r="K5" s="37"/>
      <c r="L5" s="37"/>
      <c r="M5" s="37"/>
      <c r="N5" s="37"/>
      <c r="O5" s="37"/>
      <c r="P5" s="37"/>
    </row>
    <row r="6" spans="1:16" ht="15">
      <c r="A6" s="34" t="s">
        <v>16</v>
      </c>
      <c r="B6" s="35"/>
      <c r="C6" s="35"/>
      <c r="D6" s="35"/>
      <c r="E6" s="35"/>
      <c r="F6" s="35"/>
      <c r="G6" s="35"/>
      <c r="H6" s="35"/>
      <c r="I6" s="35"/>
      <c r="J6" s="35"/>
      <c r="K6" s="37"/>
      <c r="L6" s="37"/>
      <c r="M6" s="37"/>
      <c r="N6" s="37"/>
      <c r="O6" s="37"/>
      <c r="P6" s="37"/>
    </row>
    <row r="8" spans="1:16" s="10" customFormat="1" ht="22.5">
      <c r="A8" s="3" t="s">
        <v>10</v>
      </c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12</v>
      </c>
      <c r="L8" s="3" t="s">
        <v>14</v>
      </c>
      <c r="M8" s="3" t="s">
        <v>310</v>
      </c>
      <c r="N8" s="9" t="s">
        <v>7</v>
      </c>
      <c r="O8" s="9" t="s">
        <v>305</v>
      </c>
      <c r="P8" s="3" t="s">
        <v>8</v>
      </c>
    </row>
    <row r="9" spans="1:16" ht="16.5" customHeight="1">
      <c r="A9" s="4" t="s">
        <v>44</v>
      </c>
      <c r="B9" s="5">
        <f>SUM(C9:P9)</f>
        <v>4058</v>
      </c>
      <c r="C9" s="4">
        <f>SUM(66+95)</f>
        <v>161</v>
      </c>
      <c r="D9" s="5">
        <v>15</v>
      </c>
      <c r="E9" s="4">
        <v>1</v>
      </c>
      <c r="F9" s="5">
        <v>16</v>
      </c>
      <c r="G9" s="5"/>
      <c r="H9" s="4">
        <v>1</v>
      </c>
      <c r="I9" s="5">
        <v>26</v>
      </c>
      <c r="J9" s="4"/>
      <c r="K9" s="4"/>
      <c r="L9" s="4"/>
      <c r="M9" s="4">
        <v>885</v>
      </c>
      <c r="N9" s="4">
        <v>35</v>
      </c>
      <c r="O9" s="4">
        <v>2807</v>
      </c>
      <c r="P9" s="4">
        <f>SUM(366-35-26-1-16-1-15-161)</f>
        <v>111</v>
      </c>
    </row>
    <row r="10" spans="1:16" ht="15">
      <c r="A10" s="4" t="s">
        <v>45</v>
      </c>
      <c r="B10" s="5">
        <f>SUM(C10:P10)</f>
        <v>34652</v>
      </c>
      <c r="C10" s="4">
        <f>SUM(855+2375)</f>
        <v>3230</v>
      </c>
      <c r="D10" s="5">
        <v>4135</v>
      </c>
      <c r="E10" s="4">
        <v>2496</v>
      </c>
      <c r="F10" s="5">
        <v>221</v>
      </c>
      <c r="G10" s="5">
        <v>24</v>
      </c>
      <c r="H10" s="4">
        <v>151</v>
      </c>
      <c r="I10" s="5">
        <v>330</v>
      </c>
      <c r="J10" s="4">
        <v>553</v>
      </c>
      <c r="K10" s="4">
        <v>10</v>
      </c>
      <c r="L10" s="4">
        <v>826</v>
      </c>
      <c r="M10" s="4">
        <v>8092</v>
      </c>
      <c r="N10" s="4">
        <v>1033</v>
      </c>
      <c r="O10" s="4">
        <v>9579</v>
      </c>
      <c r="P10" s="4">
        <f>SUM(16981-1033-826-10-553-330-151-24-221-2496-4135-3230)</f>
        <v>3972</v>
      </c>
    </row>
    <row r="11" spans="1:16" ht="15">
      <c r="A11" s="4"/>
      <c r="B11" s="5"/>
      <c r="C11" s="4"/>
      <c r="D11" s="5"/>
      <c r="E11" s="4"/>
      <c r="F11" s="5"/>
      <c r="G11" s="5"/>
      <c r="H11" s="4"/>
      <c r="I11" s="5"/>
      <c r="J11" s="4"/>
      <c r="K11" s="4"/>
      <c r="L11" s="4"/>
      <c r="M11" s="4"/>
      <c r="N11" s="4"/>
      <c r="O11" s="4"/>
      <c r="P11" s="4"/>
    </row>
    <row r="12" spans="1:16" ht="15">
      <c r="A12" s="4" t="s">
        <v>9</v>
      </c>
      <c r="B12" s="5">
        <f>SUM(B9:B10)</f>
        <v>38710</v>
      </c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  <c r="O12" s="4"/>
      <c r="P12" s="4"/>
    </row>
    <row r="13" spans="1:11" ht="15">
      <c r="A13" s="12"/>
      <c r="B13" s="13"/>
      <c r="C13" s="13"/>
      <c r="D13" s="12"/>
      <c r="E13" s="13"/>
      <c r="F13" s="13"/>
      <c r="G13" s="12"/>
      <c r="H13" s="13"/>
      <c r="I13" s="12"/>
      <c r="J13" s="12"/>
      <c r="K13" s="12"/>
    </row>
    <row r="14" ht="15">
      <c r="B14" s="2" t="s">
        <v>312</v>
      </c>
    </row>
    <row r="16" ht="15">
      <c r="B16" s="2" t="s">
        <v>313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defaultGridColor="0" zoomScalePageLayoutView="0" colorId="8" workbookViewId="0" topLeftCell="A1">
      <selection activeCell="A5" sqref="A5:M5"/>
    </sheetView>
  </sheetViews>
  <sheetFormatPr defaultColWidth="8.88671875" defaultRowHeight="15"/>
  <cols>
    <col min="1" max="1" width="10.21484375" style="0" customWidth="1"/>
    <col min="2" max="2" width="7.88671875" style="0" customWidth="1"/>
    <col min="3" max="3" width="9.4453125" style="0" customWidth="1"/>
    <col min="4" max="4" width="7.10546875" style="0" customWidth="1"/>
    <col min="5" max="5" width="6.88671875" style="0" customWidth="1"/>
    <col min="6" max="7" width="6.99609375" style="0" customWidth="1"/>
    <col min="8" max="8" width="6.5546875" style="0" customWidth="1"/>
    <col min="9" max="10" width="7.99609375" style="0" customWidth="1"/>
    <col min="12" max="12" width="7.21484375" style="0" customWidth="1"/>
    <col min="13" max="13" width="5.99609375" style="0" customWidth="1"/>
  </cols>
  <sheetData>
    <row r="1" spans="1:13" ht="18.75" customHeight="1">
      <c r="A1" s="36" t="s">
        <v>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8.75" customHeight="1">
      <c r="A2" s="36" t="s">
        <v>311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</row>
    <row r="3" ht="18.75">
      <c r="A3" s="1"/>
    </row>
    <row r="4" spans="1:13" ht="15">
      <c r="A4" s="34" t="s">
        <v>319</v>
      </c>
      <c r="B4" s="35"/>
      <c r="C4" s="35"/>
      <c r="D4" s="35"/>
      <c r="E4" s="35"/>
      <c r="F4" s="35"/>
      <c r="G4" s="35"/>
      <c r="H4" s="35"/>
      <c r="I4" s="35"/>
      <c r="J4" s="35"/>
      <c r="K4" s="37"/>
      <c r="L4" s="37"/>
      <c r="M4" s="37"/>
    </row>
    <row r="5" spans="1:13" ht="15">
      <c r="A5" s="34" t="s">
        <v>21</v>
      </c>
      <c r="B5" s="35"/>
      <c r="C5" s="35"/>
      <c r="D5" s="35"/>
      <c r="E5" s="35"/>
      <c r="F5" s="35"/>
      <c r="G5" s="35"/>
      <c r="H5" s="35"/>
      <c r="I5" s="35"/>
      <c r="J5" s="35"/>
      <c r="K5" s="37"/>
      <c r="L5" s="37"/>
      <c r="M5" s="37"/>
    </row>
    <row r="6" spans="1:13" ht="15">
      <c r="A6" s="34" t="s">
        <v>22</v>
      </c>
      <c r="B6" s="35"/>
      <c r="C6" s="35"/>
      <c r="D6" s="35"/>
      <c r="E6" s="35"/>
      <c r="F6" s="35"/>
      <c r="G6" s="35"/>
      <c r="H6" s="35"/>
      <c r="I6" s="35"/>
      <c r="J6" s="35"/>
      <c r="K6" s="37"/>
      <c r="L6" s="37"/>
      <c r="M6" s="37"/>
    </row>
    <row r="8" spans="1:13" s="10" customFormat="1" ht="22.5">
      <c r="A8" s="3" t="s">
        <v>10</v>
      </c>
      <c r="B8" s="9" t="s">
        <v>0</v>
      </c>
      <c r="C8" s="9" t="s">
        <v>304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310</v>
      </c>
      <c r="K8" s="9" t="s">
        <v>7</v>
      </c>
      <c r="L8" s="9" t="s">
        <v>305</v>
      </c>
      <c r="M8" s="3" t="s">
        <v>8</v>
      </c>
    </row>
    <row r="9" spans="1:13" ht="15">
      <c r="A9" s="33" t="s">
        <v>47</v>
      </c>
      <c r="B9" s="32">
        <f aca="true" t="shared" si="0" ref="B9:B24">SUM(C9:M9)</f>
        <v>8198</v>
      </c>
      <c r="C9" s="33">
        <v>4234</v>
      </c>
      <c r="D9" s="32">
        <v>30</v>
      </c>
      <c r="E9" s="33"/>
      <c r="F9" s="32">
        <v>5</v>
      </c>
      <c r="G9" s="33"/>
      <c r="H9" s="33"/>
      <c r="I9" s="33">
        <v>1</v>
      </c>
      <c r="J9" s="33">
        <v>263</v>
      </c>
      <c r="K9" s="32">
        <v>37</v>
      </c>
      <c r="L9" s="32">
        <v>3354</v>
      </c>
      <c r="M9" s="33">
        <f>SUM(4581-37-1-5-30-4234)</f>
        <v>274</v>
      </c>
    </row>
    <row r="10" spans="1:13" ht="15">
      <c r="A10" s="33" t="s">
        <v>48</v>
      </c>
      <c r="B10" s="32">
        <f t="shared" si="0"/>
        <v>131</v>
      </c>
      <c r="C10" s="33"/>
      <c r="D10" s="32"/>
      <c r="E10" s="33"/>
      <c r="F10" s="32">
        <v>6</v>
      </c>
      <c r="G10" s="33"/>
      <c r="H10" s="33"/>
      <c r="I10" s="33">
        <v>1</v>
      </c>
      <c r="J10" s="33">
        <v>24</v>
      </c>
      <c r="K10" s="32"/>
      <c r="L10" s="32">
        <v>100</v>
      </c>
      <c r="M10" s="33"/>
    </row>
    <row r="11" spans="1:13" ht="15">
      <c r="A11" s="4" t="s">
        <v>29</v>
      </c>
      <c r="B11" s="32">
        <f t="shared" si="0"/>
        <v>460</v>
      </c>
      <c r="C11" s="33"/>
      <c r="D11" s="32"/>
      <c r="E11" s="33"/>
      <c r="F11" s="32">
        <v>2</v>
      </c>
      <c r="G11" s="32"/>
      <c r="H11" s="33">
        <v>1</v>
      </c>
      <c r="I11" s="32">
        <v>2</v>
      </c>
      <c r="J11" s="32">
        <v>60</v>
      </c>
      <c r="K11" s="33"/>
      <c r="L11" s="33">
        <v>394</v>
      </c>
      <c r="M11" s="33">
        <v>1</v>
      </c>
    </row>
    <row r="12" spans="1:13" ht="15">
      <c r="A12" s="4" t="s">
        <v>44</v>
      </c>
      <c r="B12" s="32">
        <f t="shared" si="0"/>
        <v>4058</v>
      </c>
      <c r="C12" s="4">
        <f>SUM(66+95)</f>
        <v>161</v>
      </c>
      <c r="D12" s="5">
        <v>15</v>
      </c>
      <c r="E12" s="4">
        <v>1</v>
      </c>
      <c r="F12" s="5">
        <v>16</v>
      </c>
      <c r="G12" s="5"/>
      <c r="H12" s="4">
        <v>1</v>
      </c>
      <c r="I12" s="5">
        <v>26</v>
      </c>
      <c r="J12" s="4">
        <v>885</v>
      </c>
      <c r="K12" s="4">
        <v>35</v>
      </c>
      <c r="L12" s="4">
        <v>2807</v>
      </c>
      <c r="M12" s="4">
        <f>SUM(366-35-26-1-16-1-15-161)</f>
        <v>111</v>
      </c>
    </row>
    <row r="13" spans="1:13" ht="15">
      <c r="A13" s="4" t="s">
        <v>49</v>
      </c>
      <c r="B13" s="32">
        <f t="shared" si="0"/>
        <v>60</v>
      </c>
      <c r="C13" s="33"/>
      <c r="D13" s="32"/>
      <c r="E13" s="33"/>
      <c r="F13" s="32">
        <v>4</v>
      </c>
      <c r="G13" s="32"/>
      <c r="H13" s="33"/>
      <c r="I13" s="32"/>
      <c r="J13" s="32">
        <v>17</v>
      </c>
      <c r="K13" s="33"/>
      <c r="L13" s="33">
        <v>39</v>
      </c>
      <c r="M13" s="33"/>
    </row>
    <row r="14" spans="1:13" ht="15">
      <c r="A14" s="4" t="s">
        <v>50</v>
      </c>
      <c r="B14" s="32">
        <f t="shared" si="0"/>
        <v>1022</v>
      </c>
      <c r="C14" s="33">
        <v>4</v>
      </c>
      <c r="D14" s="32">
        <v>533</v>
      </c>
      <c r="E14" s="33"/>
      <c r="F14" s="32">
        <v>9</v>
      </c>
      <c r="G14" s="32"/>
      <c r="H14" s="33"/>
      <c r="I14" s="32">
        <v>2</v>
      </c>
      <c r="J14" s="32">
        <v>77</v>
      </c>
      <c r="K14" s="33"/>
      <c r="L14" s="33">
        <v>394</v>
      </c>
      <c r="M14" s="33">
        <f>SUM(551-2-9-533-4)</f>
        <v>3</v>
      </c>
    </row>
    <row r="15" spans="1:13" ht="15">
      <c r="A15" s="4" t="s">
        <v>17</v>
      </c>
      <c r="B15" s="32">
        <f t="shared" si="0"/>
        <v>68</v>
      </c>
      <c r="C15" s="33"/>
      <c r="D15" s="32"/>
      <c r="E15" s="33"/>
      <c r="F15" s="32">
        <v>1</v>
      </c>
      <c r="G15" s="32"/>
      <c r="H15" s="33"/>
      <c r="I15" s="32">
        <v>1</v>
      </c>
      <c r="J15" s="32">
        <v>17</v>
      </c>
      <c r="K15" s="33"/>
      <c r="L15" s="33">
        <v>49</v>
      </c>
      <c r="M15" s="33"/>
    </row>
    <row r="16" spans="1:13" ht="15">
      <c r="A16" s="4" t="s">
        <v>51</v>
      </c>
      <c r="B16" s="32">
        <f t="shared" si="0"/>
        <v>1176</v>
      </c>
      <c r="C16" s="33">
        <v>36</v>
      </c>
      <c r="D16" s="32"/>
      <c r="E16" s="33">
        <v>1</v>
      </c>
      <c r="F16" s="32">
        <v>4</v>
      </c>
      <c r="G16" s="32">
        <v>7</v>
      </c>
      <c r="H16" s="33"/>
      <c r="I16" s="32">
        <v>7</v>
      </c>
      <c r="J16" s="32">
        <v>206</v>
      </c>
      <c r="K16" s="33">
        <v>19</v>
      </c>
      <c r="L16" s="33">
        <v>876</v>
      </c>
      <c r="M16" s="33">
        <f>SUM(94-19-7-7-4-1-36)</f>
        <v>20</v>
      </c>
    </row>
    <row r="17" spans="1:13" ht="15">
      <c r="A17" s="4" t="s">
        <v>52</v>
      </c>
      <c r="B17" s="32">
        <f t="shared" si="0"/>
        <v>253</v>
      </c>
      <c r="C17" s="33">
        <v>2</v>
      </c>
      <c r="D17" s="32"/>
      <c r="E17" s="33"/>
      <c r="F17" s="32">
        <v>11</v>
      </c>
      <c r="G17" s="32"/>
      <c r="H17" s="33"/>
      <c r="I17" s="32">
        <v>1</v>
      </c>
      <c r="J17" s="32">
        <v>62</v>
      </c>
      <c r="K17" s="33"/>
      <c r="L17" s="33">
        <v>176</v>
      </c>
      <c r="M17" s="33">
        <v>1</v>
      </c>
    </row>
    <row r="18" spans="1:13" ht="15">
      <c r="A18" s="4" t="s">
        <v>53</v>
      </c>
      <c r="B18" s="32">
        <f t="shared" si="0"/>
        <v>735</v>
      </c>
      <c r="C18" s="33">
        <v>73</v>
      </c>
      <c r="D18" s="32"/>
      <c r="E18" s="33"/>
      <c r="F18" s="32">
        <v>5</v>
      </c>
      <c r="G18" s="32"/>
      <c r="H18" s="33"/>
      <c r="I18" s="32">
        <v>1</v>
      </c>
      <c r="J18" s="32">
        <v>155</v>
      </c>
      <c r="K18" s="33">
        <v>19</v>
      </c>
      <c r="L18" s="33">
        <v>479</v>
      </c>
      <c r="M18" s="33">
        <f>SUM(101-19-1-5-73)</f>
        <v>3</v>
      </c>
    </row>
    <row r="19" spans="1:13" ht="15">
      <c r="A19" s="4" t="s">
        <v>54</v>
      </c>
      <c r="B19" s="32">
        <f t="shared" si="0"/>
        <v>487</v>
      </c>
      <c r="C19" s="33">
        <v>24</v>
      </c>
      <c r="D19" s="32"/>
      <c r="E19" s="33"/>
      <c r="F19" s="32">
        <v>7</v>
      </c>
      <c r="G19" s="32"/>
      <c r="H19" s="33"/>
      <c r="I19" s="32">
        <v>1</v>
      </c>
      <c r="J19" s="32">
        <v>101</v>
      </c>
      <c r="K19" s="33">
        <v>15</v>
      </c>
      <c r="L19" s="33">
        <v>337</v>
      </c>
      <c r="M19" s="33">
        <f>SUM(49-15-1-7-24)</f>
        <v>2</v>
      </c>
    </row>
    <row r="20" spans="1:13" ht="15">
      <c r="A20" s="4" t="s">
        <v>55</v>
      </c>
      <c r="B20" s="32">
        <f t="shared" si="0"/>
        <v>204</v>
      </c>
      <c r="C20" s="33"/>
      <c r="D20" s="32"/>
      <c r="E20" s="33"/>
      <c r="F20" s="32"/>
      <c r="G20" s="32"/>
      <c r="H20" s="33"/>
      <c r="I20" s="32">
        <v>1</v>
      </c>
      <c r="J20" s="32">
        <v>24</v>
      </c>
      <c r="K20" s="33"/>
      <c r="L20" s="33">
        <v>179</v>
      </c>
      <c r="M20" s="33"/>
    </row>
    <row r="21" spans="1:13" ht="15">
      <c r="A21" s="4" t="s">
        <v>56</v>
      </c>
      <c r="B21" s="32">
        <f t="shared" si="0"/>
        <v>90</v>
      </c>
      <c r="C21" s="33">
        <v>1</v>
      </c>
      <c r="D21" s="32"/>
      <c r="E21" s="33"/>
      <c r="F21" s="32"/>
      <c r="G21" s="32"/>
      <c r="H21" s="33"/>
      <c r="I21" s="32"/>
      <c r="J21" s="32">
        <v>17</v>
      </c>
      <c r="K21" s="33"/>
      <c r="L21" s="33">
        <v>72</v>
      </c>
      <c r="M21" s="33"/>
    </row>
    <row r="22" spans="1:13" ht="15">
      <c r="A22" s="4" t="s">
        <v>57</v>
      </c>
      <c r="B22" s="32">
        <f t="shared" si="0"/>
        <v>294</v>
      </c>
      <c r="C22" s="33">
        <v>1</v>
      </c>
      <c r="D22" s="32"/>
      <c r="E22" s="33"/>
      <c r="F22" s="32">
        <v>2</v>
      </c>
      <c r="G22" s="32"/>
      <c r="H22" s="33"/>
      <c r="I22" s="32"/>
      <c r="J22" s="32">
        <v>35</v>
      </c>
      <c r="K22" s="33"/>
      <c r="L22" s="33">
        <v>256</v>
      </c>
      <c r="M22" s="33"/>
    </row>
    <row r="23" spans="1:13" ht="15">
      <c r="A23" s="4" t="s">
        <v>58</v>
      </c>
      <c r="B23" s="32">
        <f t="shared" si="0"/>
        <v>529</v>
      </c>
      <c r="C23" s="33">
        <v>2</v>
      </c>
      <c r="D23" s="32"/>
      <c r="E23" s="33"/>
      <c r="F23" s="32"/>
      <c r="G23" s="32"/>
      <c r="H23" s="33"/>
      <c r="I23" s="32">
        <v>1</v>
      </c>
      <c r="J23" s="32">
        <v>101</v>
      </c>
      <c r="K23" s="33"/>
      <c r="L23" s="33">
        <v>413</v>
      </c>
      <c r="M23" s="33">
        <v>12</v>
      </c>
    </row>
    <row r="24" spans="1:13" ht="15">
      <c r="A24" s="4" t="s">
        <v>59</v>
      </c>
      <c r="B24" s="32">
        <f t="shared" si="0"/>
        <v>259</v>
      </c>
      <c r="C24" s="33"/>
      <c r="D24" s="32"/>
      <c r="E24" s="33"/>
      <c r="F24" s="32">
        <v>54</v>
      </c>
      <c r="G24" s="32"/>
      <c r="H24" s="33"/>
      <c r="I24" s="32"/>
      <c r="J24" s="32">
        <v>51</v>
      </c>
      <c r="K24" s="33">
        <v>6</v>
      </c>
      <c r="L24" s="33">
        <v>148</v>
      </c>
      <c r="M24" s="33"/>
    </row>
    <row r="25" spans="1:13" ht="15">
      <c r="A25" s="4"/>
      <c r="B25" s="32"/>
      <c r="C25" s="33"/>
      <c r="D25" s="32"/>
      <c r="E25" s="33"/>
      <c r="F25" s="32"/>
      <c r="G25" s="32"/>
      <c r="H25" s="33"/>
      <c r="I25" s="32"/>
      <c r="J25" s="32"/>
      <c r="K25" s="33"/>
      <c r="L25" s="33"/>
      <c r="M25" s="33"/>
    </row>
    <row r="26" spans="1:13" ht="15">
      <c r="A26" s="4" t="s">
        <v>9</v>
      </c>
      <c r="B26" s="32">
        <f>SUM(B12:B24)</f>
        <v>9235</v>
      </c>
      <c r="C26" s="33"/>
      <c r="D26" s="32"/>
      <c r="E26" s="33"/>
      <c r="F26" s="32"/>
      <c r="G26" s="32"/>
      <c r="H26" s="33"/>
      <c r="I26" s="32"/>
      <c r="J26" s="32"/>
      <c r="K26" s="33"/>
      <c r="L26" s="33"/>
      <c r="M26" s="33"/>
    </row>
    <row r="28" ht="15">
      <c r="B28" s="2" t="s">
        <v>312</v>
      </c>
    </row>
    <row r="30" ht="15">
      <c r="B30" s="2" t="s">
        <v>313</v>
      </c>
    </row>
  </sheetData>
  <sheetProtection/>
  <mergeCells count="5">
    <mergeCell ref="A6:M6"/>
    <mergeCell ref="A1:M1"/>
    <mergeCell ref="A2:M2"/>
    <mergeCell ref="A4:M4"/>
    <mergeCell ref="A5:M5"/>
  </mergeCells>
  <printOptions horizontalCentered="1"/>
  <pageMargins left="0.75" right="0.75" top="1" bottom="1" header="0.5" footer="0.5"/>
  <pageSetup horizontalDpi="600" verticalDpi="600" orientation="landscape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5" sqref="A5:O5"/>
    </sheetView>
  </sheetViews>
  <sheetFormatPr defaultColWidth="8.88671875" defaultRowHeight="15"/>
  <cols>
    <col min="1" max="1" width="9.77734375" style="0" customWidth="1"/>
    <col min="2" max="2" width="8.21484375" style="0" customWidth="1"/>
    <col min="3" max="3" width="6.99609375" style="0" customWidth="1"/>
    <col min="4" max="4" width="7.77734375" style="0" customWidth="1"/>
    <col min="5" max="5" width="5.5546875" style="0" customWidth="1"/>
    <col min="6" max="6" width="4.77734375" style="0" customWidth="1"/>
    <col min="7" max="7" width="6.10546875" style="0" customWidth="1"/>
    <col min="8" max="8" width="5.88671875" style="0" customWidth="1"/>
    <col min="9" max="9" width="7.88671875" style="0" customWidth="1"/>
    <col min="10" max="10" width="5.3359375" style="0" customWidth="1"/>
    <col min="11" max="11" width="6.4453125" style="0" customWidth="1"/>
    <col min="12" max="12" width="6.3359375" style="0" customWidth="1"/>
    <col min="13" max="14" width="6.5546875" style="0" customWidth="1"/>
    <col min="15" max="15" width="5.5546875" style="0" customWidth="1"/>
  </cols>
  <sheetData>
    <row r="1" spans="1:15" ht="18.75" customHeight="1">
      <c r="A1" s="36" t="s">
        <v>67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</row>
    <row r="2" spans="1:15" ht="18.75" customHeight="1">
      <c r="A2" s="36" t="s">
        <v>311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</row>
    <row r="3" ht="18.75">
      <c r="A3" s="1"/>
    </row>
    <row r="4" spans="1:15" ht="15">
      <c r="A4" s="34" t="s">
        <v>320</v>
      </c>
      <c r="B4" s="35"/>
      <c r="C4" s="35"/>
      <c r="D4" s="35"/>
      <c r="E4" s="35"/>
      <c r="F4" s="35"/>
      <c r="G4" s="35"/>
      <c r="H4" s="35"/>
      <c r="I4" s="35"/>
      <c r="J4" s="35"/>
      <c r="K4" s="37"/>
      <c r="L4" s="37"/>
      <c r="M4" s="37"/>
      <c r="N4" s="37"/>
      <c r="O4" s="37"/>
    </row>
    <row r="5" spans="1:15" ht="15">
      <c r="A5" s="34" t="s">
        <v>15</v>
      </c>
      <c r="B5" s="35"/>
      <c r="C5" s="35"/>
      <c r="D5" s="35"/>
      <c r="E5" s="35"/>
      <c r="F5" s="35"/>
      <c r="G5" s="35"/>
      <c r="H5" s="35"/>
      <c r="I5" s="35"/>
      <c r="J5" s="35"/>
      <c r="K5" s="37"/>
      <c r="L5" s="37"/>
      <c r="M5" s="37"/>
      <c r="N5" s="37"/>
      <c r="O5" s="37"/>
    </row>
    <row r="6" spans="1:15" ht="15">
      <c r="A6" s="34" t="s">
        <v>16</v>
      </c>
      <c r="B6" s="35"/>
      <c r="C6" s="35"/>
      <c r="D6" s="35"/>
      <c r="E6" s="35"/>
      <c r="F6" s="35"/>
      <c r="G6" s="35"/>
      <c r="H6" s="35"/>
      <c r="I6" s="35"/>
      <c r="J6" s="35"/>
      <c r="K6" s="37"/>
      <c r="L6" s="37"/>
      <c r="M6" s="37"/>
      <c r="N6" s="37"/>
      <c r="O6" s="37"/>
    </row>
    <row r="8" spans="1:15" s="10" customFormat="1" ht="22.5">
      <c r="A8" s="3" t="s">
        <v>10</v>
      </c>
      <c r="B8" s="9" t="s">
        <v>0</v>
      </c>
      <c r="C8" s="9" t="s">
        <v>309</v>
      </c>
      <c r="D8" s="9" t="s">
        <v>1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9" t="s">
        <v>314</v>
      </c>
      <c r="L8" s="3" t="s">
        <v>310</v>
      </c>
      <c r="M8" s="9" t="s">
        <v>7</v>
      </c>
      <c r="N8" s="9" t="s">
        <v>305</v>
      </c>
      <c r="O8" s="3" t="s">
        <v>8</v>
      </c>
    </row>
    <row r="9" spans="1:15" ht="15">
      <c r="A9" s="4" t="s">
        <v>61</v>
      </c>
      <c r="B9" s="5">
        <f aca="true" t="shared" si="0" ref="B9:B15">SUM(C9:O9)</f>
        <v>330</v>
      </c>
      <c r="C9" s="4">
        <v>3</v>
      </c>
      <c r="D9" s="5">
        <v>23</v>
      </c>
      <c r="E9" s="4"/>
      <c r="F9" s="5">
        <v>4</v>
      </c>
      <c r="G9" s="5"/>
      <c r="H9" s="4"/>
      <c r="I9" s="5">
        <v>4</v>
      </c>
      <c r="J9" s="4"/>
      <c r="K9" s="4"/>
      <c r="L9" s="4">
        <v>99</v>
      </c>
      <c r="M9" s="4">
        <v>13</v>
      </c>
      <c r="N9" s="4">
        <v>184</v>
      </c>
      <c r="O9" s="4"/>
    </row>
    <row r="10" spans="1:15" ht="15">
      <c r="A10" s="4" t="s">
        <v>62</v>
      </c>
      <c r="B10" s="5">
        <f t="shared" si="0"/>
        <v>246</v>
      </c>
      <c r="C10" s="4"/>
      <c r="D10" s="5"/>
      <c r="E10" s="4"/>
      <c r="F10" s="5">
        <v>1</v>
      </c>
      <c r="G10" s="5"/>
      <c r="H10" s="4"/>
      <c r="I10" s="5">
        <v>1</v>
      </c>
      <c r="J10" s="4"/>
      <c r="K10" s="4"/>
      <c r="L10" s="4">
        <v>72</v>
      </c>
      <c r="M10" s="4"/>
      <c r="N10" s="4">
        <v>172</v>
      </c>
      <c r="O10" s="4"/>
    </row>
    <row r="11" spans="1:15" ht="15">
      <c r="A11" s="4" t="s">
        <v>45</v>
      </c>
      <c r="B11" s="5">
        <f t="shared" si="0"/>
        <v>34652</v>
      </c>
      <c r="C11" s="4">
        <f>SUM(855+2375)</f>
        <v>3230</v>
      </c>
      <c r="D11" s="5">
        <v>4135</v>
      </c>
      <c r="E11" s="4">
        <v>2496</v>
      </c>
      <c r="F11" s="5">
        <v>221</v>
      </c>
      <c r="G11" s="5">
        <v>24</v>
      </c>
      <c r="H11" s="4">
        <v>151</v>
      </c>
      <c r="I11" s="5">
        <v>330</v>
      </c>
      <c r="J11" s="4">
        <v>553</v>
      </c>
      <c r="K11" s="4">
        <v>836</v>
      </c>
      <c r="L11" s="4">
        <v>8092</v>
      </c>
      <c r="M11" s="4">
        <v>1033</v>
      </c>
      <c r="N11" s="4">
        <v>9579</v>
      </c>
      <c r="O11" s="4">
        <f>SUM(16981-1033-826-10-553-330-151-24-221-2496-4135-3230)</f>
        <v>3972</v>
      </c>
    </row>
    <row r="12" spans="1:15" ht="15">
      <c r="A12" s="4" t="s">
        <v>63</v>
      </c>
      <c r="B12" s="5">
        <f t="shared" si="0"/>
        <v>612</v>
      </c>
      <c r="C12" s="4">
        <v>2</v>
      </c>
      <c r="D12" s="5"/>
      <c r="E12" s="4"/>
      <c r="F12" s="5">
        <v>1</v>
      </c>
      <c r="G12" s="5">
        <v>1</v>
      </c>
      <c r="H12" s="4"/>
      <c r="I12" s="5">
        <v>2</v>
      </c>
      <c r="J12" s="4"/>
      <c r="K12" s="4"/>
      <c r="L12" s="4">
        <v>93</v>
      </c>
      <c r="M12" s="4"/>
      <c r="N12" s="4">
        <v>512</v>
      </c>
      <c r="O12" s="4">
        <v>1</v>
      </c>
    </row>
    <row r="13" spans="1:15" ht="15">
      <c r="A13" s="4" t="s">
        <v>64</v>
      </c>
      <c r="B13" s="5">
        <f t="shared" si="0"/>
        <v>707</v>
      </c>
      <c r="C13" s="4">
        <v>12</v>
      </c>
      <c r="D13" s="5"/>
      <c r="E13" s="4"/>
      <c r="F13" s="5">
        <v>2</v>
      </c>
      <c r="G13" s="5"/>
      <c r="H13" s="4"/>
      <c r="I13" s="5">
        <v>3</v>
      </c>
      <c r="J13" s="4"/>
      <c r="K13" s="4"/>
      <c r="L13" s="4">
        <v>177</v>
      </c>
      <c r="M13" s="4"/>
      <c r="N13" s="4">
        <v>512</v>
      </c>
      <c r="O13" s="4">
        <v>1</v>
      </c>
    </row>
    <row r="14" spans="1:15" ht="15">
      <c r="A14" s="4" t="s">
        <v>65</v>
      </c>
      <c r="B14" s="5">
        <f t="shared" si="0"/>
        <v>327</v>
      </c>
      <c r="C14" s="4">
        <v>1</v>
      </c>
      <c r="D14" s="5"/>
      <c r="E14" s="4"/>
      <c r="F14" s="5">
        <v>9</v>
      </c>
      <c r="G14" s="5"/>
      <c r="H14" s="4"/>
      <c r="I14" s="5">
        <v>1</v>
      </c>
      <c r="J14" s="4"/>
      <c r="K14" s="4"/>
      <c r="L14" s="4">
        <v>79</v>
      </c>
      <c r="M14" s="4"/>
      <c r="N14" s="4">
        <v>237</v>
      </c>
      <c r="O14" s="4"/>
    </row>
    <row r="15" spans="1:15" ht="15">
      <c r="A15" s="4" t="s">
        <v>66</v>
      </c>
      <c r="B15" s="5">
        <f t="shared" si="0"/>
        <v>503</v>
      </c>
      <c r="C15" s="4"/>
      <c r="D15" s="5"/>
      <c r="E15" s="4"/>
      <c r="F15" s="5">
        <v>7</v>
      </c>
      <c r="G15" s="5"/>
      <c r="H15" s="4"/>
      <c r="I15" s="5"/>
      <c r="J15" s="4"/>
      <c r="K15" s="4"/>
      <c r="L15" s="4">
        <v>88</v>
      </c>
      <c r="M15" s="4"/>
      <c r="N15" s="4">
        <v>406</v>
      </c>
      <c r="O15" s="4">
        <v>2</v>
      </c>
    </row>
    <row r="16" spans="1:15" ht="15">
      <c r="A16" s="4"/>
      <c r="B16" s="5"/>
      <c r="C16" s="4"/>
      <c r="D16" s="5"/>
      <c r="E16" s="4"/>
      <c r="F16" s="5"/>
      <c r="G16" s="5"/>
      <c r="H16" s="4"/>
      <c r="I16" s="5"/>
      <c r="J16" s="4"/>
      <c r="K16" s="4"/>
      <c r="L16" s="4"/>
      <c r="M16" s="4"/>
      <c r="N16" s="4"/>
      <c r="O16" s="4"/>
    </row>
    <row r="17" spans="1:15" ht="15">
      <c r="A17" s="4" t="s">
        <v>9</v>
      </c>
      <c r="B17" s="5">
        <f>SUM(B9:B15)</f>
        <v>37377</v>
      </c>
      <c r="C17" s="4"/>
      <c r="D17" s="5"/>
      <c r="E17" s="4"/>
      <c r="F17" s="5"/>
      <c r="G17" s="5"/>
      <c r="H17" s="4"/>
      <c r="I17" s="5"/>
      <c r="J17" s="4"/>
      <c r="K17" s="4"/>
      <c r="L17" s="4"/>
      <c r="M17" s="4"/>
      <c r="N17" s="4"/>
      <c r="O17" s="4"/>
    </row>
    <row r="19" ht="15">
      <c r="B19" s="2" t="s">
        <v>312</v>
      </c>
    </row>
    <row r="21" ht="15">
      <c r="B21" s="2" t="s">
        <v>313</v>
      </c>
    </row>
  </sheetData>
  <sheetProtection/>
  <mergeCells count="5">
    <mergeCell ref="A6:O6"/>
    <mergeCell ref="A1:O1"/>
    <mergeCell ref="A2:O2"/>
    <mergeCell ref="A4:O4"/>
    <mergeCell ref="A5:O5"/>
  </mergeCells>
  <printOptions horizontalCentered="1"/>
  <pageMargins left="0.75" right="0.75" top="1" bottom="1" header="0.5" footer="0.5"/>
  <pageSetup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L16" sqref="L16:O16"/>
    </sheetView>
  </sheetViews>
  <sheetFormatPr defaultColWidth="8.88671875" defaultRowHeight="15"/>
  <cols>
    <col min="1" max="1" width="10.21484375" style="0" customWidth="1"/>
    <col min="2" max="2" width="7.6640625" style="0" customWidth="1"/>
    <col min="3" max="3" width="6.99609375" style="0" customWidth="1"/>
    <col min="4" max="4" width="6.3359375" style="0" customWidth="1"/>
    <col min="5" max="6" width="5.88671875" style="0" customWidth="1"/>
    <col min="7" max="7" width="6.21484375" style="0" customWidth="1"/>
    <col min="8" max="8" width="6.3359375" style="0" customWidth="1"/>
    <col min="9" max="9" width="7.21484375" style="0" customWidth="1"/>
    <col min="10" max="10" width="4.77734375" style="0" customWidth="1"/>
    <col min="11" max="11" width="5.10546875" style="0" customWidth="1"/>
    <col min="12" max="12" width="6.77734375" style="0" customWidth="1"/>
    <col min="13" max="14" width="6.99609375" style="0" customWidth="1"/>
    <col min="15" max="15" width="5.21484375" style="0" customWidth="1"/>
  </cols>
  <sheetData>
    <row r="1" spans="1:15" ht="18.75" customHeight="1">
      <c r="A1" s="36" t="s">
        <v>76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</row>
    <row r="2" spans="1:15" ht="18.75" customHeight="1">
      <c r="A2" s="36" t="s">
        <v>311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</row>
    <row r="3" ht="18.75">
      <c r="A3" s="1"/>
    </row>
    <row r="4" spans="1:15" ht="15">
      <c r="A4" s="34" t="s">
        <v>321</v>
      </c>
      <c r="B4" s="35"/>
      <c r="C4" s="35"/>
      <c r="D4" s="35"/>
      <c r="E4" s="35"/>
      <c r="F4" s="35"/>
      <c r="G4" s="35"/>
      <c r="H4" s="35"/>
      <c r="I4" s="35"/>
      <c r="J4" s="35"/>
      <c r="K4" s="37"/>
      <c r="L4" s="37"/>
      <c r="M4" s="37"/>
      <c r="N4" s="37"/>
      <c r="O4" s="37"/>
    </row>
    <row r="5" spans="1:15" ht="15">
      <c r="A5" s="34" t="s">
        <v>15</v>
      </c>
      <c r="B5" s="35"/>
      <c r="C5" s="35"/>
      <c r="D5" s="35"/>
      <c r="E5" s="35"/>
      <c r="F5" s="35"/>
      <c r="G5" s="35"/>
      <c r="H5" s="35"/>
      <c r="I5" s="35"/>
      <c r="J5" s="37"/>
      <c r="K5" s="37"/>
      <c r="L5" s="37"/>
      <c r="M5" s="37"/>
      <c r="N5" s="37"/>
      <c r="O5" s="37"/>
    </row>
    <row r="6" spans="1:15" ht="15">
      <c r="A6" s="34" t="s">
        <v>16</v>
      </c>
      <c r="B6" s="35"/>
      <c r="C6" s="35"/>
      <c r="D6" s="35"/>
      <c r="E6" s="35"/>
      <c r="F6" s="35"/>
      <c r="G6" s="35"/>
      <c r="H6" s="35"/>
      <c r="I6" s="35"/>
      <c r="J6" s="37"/>
      <c r="K6" s="37"/>
      <c r="L6" s="37"/>
      <c r="M6" s="37"/>
      <c r="N6" s="37"/>
      <c r="O6" s="37"/>
    </row>
    <row r="8" spans="1:10" s="10" customFormat="1" ht="15">
      <c r="A8"/>
      <c r="B8" s="8"/>
      <c r="C8"/>
      <c r="D8"/>
      <c r="E8"/>
      <c r="F8"/>
      <c r="G8"/>
      <c r="H8"/>
      <c r="I8"/>
      <c r="J8"/>
    </row>
    <row r="9" spans="1:15" ht="22.5">
      <c r="A9" s="3" t="s">
        <v>10</v>
      </c>
      <c r="B9" s="9" t="s">
        <v>0</v>
      </c>
      <c r="C9" s="9" t="s">
        <v>309</v>
      </c>
      <c r="D9" s="9" t="s">
        <v>1</v>
      </c>
      <c r="E9" s="3" t="s">
        <v>2</v>
      </c>
      <c r="F9" s="9" t="s">
        <v>11</v>
      </c>
      <c r="G9" s="3" t="s">
        <v>3</v>
      </c>
      <c r="H9" s="3" t="s">
        <v>4</v>
      </c>
      <c r="I9" s="3" t="s">
        <v>5</v>
      </c>
      <c r="J9" s="3" t="s">
        <v>6</v>
      </c>
      <c r="K9" s="3" t="s">
        <v>13</v>
      </c>
      <c r="L9" s="3" t="s">
        <v>310</v>
      </c>
      <c r="M9" s="9" t="s">
        <v>7</v>
      </c>
      <c r="N9" s="9" t="s">
        <v>305</v>
      </c>
      <c r="O9" s="3" t="s">
        <v>8</v>
      </c>
    </row>
    <row r="10" spans="1:15" ht="15">
      <c r="A10" s="4" t="s">
        <v>68</v>
      </c>
      <c r="B10" s="5">
        <f aca="true" t="shared" si="0" ref="B10:B17">SUM(C10:O10)</f>
        <v>1027</v>
      </c>
      <c r="C10" s="4">
        <v>11</v>
      </c>
      <c r="D10" s="5"/>
      <c r="E10" s="4">
        <v>1</v>
      </c>
      <c r="F10" s="5">
        <v>8</v>
      </c>
      <c r="G10" s="5"/>
      <c r="H10" s="4">
        <v>1</v>
      </c>
      <c r="I10" s="5">
        <v>2</v>
      </c>
      <c r="J10" s="4"/>
      <c r="K10" s="4"/>
      <c r="L10" s="4">
        <v>189</v>
      </c>
      <c r="M10" s="4">
        <v>16</v>
      </c>
      <c r="N10" s="4">
        <v>797</v>
      </c>
      <c r="O10" s="4">
        <v>2</v>
      </c>
    </row>
    <row r="11" spans="1:15" ht="15">
      <c r="A11" s="4" t="s">
        <v>69</v>
      </c>
      <c r="B11" s="5">
        <f t="shared" si="0"/>
        <v>136</v>
      </c>
      <c r="C11" s="4">
        <v>1</v>
      </c>
      <c r="D11" s="5"/>
      <c r="E11" s="4"/>
      <c r="F11" s="5">
        <v>3</v>
      </c>
      <c r="G11" s="5"/>
      <c r="H11" s="4"/>
      <c r="I11" s="5"/>
      <c r="J11" s="4"/>
      <c r="K11" s="4"/>
      <c r="L11" s="4">
        <v>32</v>
      </c>
      <c r="M11" s="4"/>
      <c r="N11" s="4">
        <v>99</v>
      </c>
      <c r="O11" s="4">
        <v>1</v>
      </c>
    </row>
    <row r="12" spans="1:15" ht="15">
      <c r="A12" s="4" t="s">
        <v>70</v>
      </c>
      <c r="B12" s="5">
        <f t="shared" si="0"/>
        <v>240</v>
      </c>
      <c r="C12" s="4">
        <v>3</v>
      </c>
      <c r="D12" s="5"/>
      <c r="E12" s="4"/>
      <c r="F12" s="5">
        <v>40</v>
      </c>
      <c r="G12" s="5"/>
      <c r="H12" s="4"/>
      <c r="I12" s="5"/>
      <c r="J12" s="4"/>
      <c r="K12" s="4">
        <v>1</v>
      </c>
      <c r="L12" s="4">
        <v>44</v>
      </c>
      <c r="M12" s="4"/>
      <c r="N12" s="4">
        <v>152</v>
      </c>
      <c r="O12" s="4"/>
    </row>
    <row r="13" spans="1:15" ht="15">
      <c r="A13" s="4" t="s">
        <v>71</v>
      </c>
      <c r="B13" s="5">
        <f t="shared" si="0"/>
        <v>162</v>
      </c>
      <c r="C13" s="4">
        <v>3</v>
      </c>
      <c r="D13" s="5"/>
      <c r="E13" s="4"/>
      <c r="F13" s="5">
        <v>3</v>
      </c>
      <c r="G13" s="5"/>
      <c r="H13" s="4"/>
      <c r="I13" s="5">
        <v>1</v>
      </c>
      <c r="J13" s="4"/>
      <c r="K13" s="4"/>
      <c r="L13" s="4">
        <v>42</v>
      </c>
      <c r="M13" s="4"/>
      <c r="N13" s="4">
        <v>113</v>
      </c>
      <c r="O13" s="4"/>
    </row>
    <row r="14" spans="1:15" ht="15">
      <c r="A14" s="4" t="s">
        <v>72</v>
      </c>
      <c r="B14" s="5">
        <f t="shared" si="0"/>
        <v>191</v>
      </c>
      <c r="C14" s="4"/>
      <c r="D14" s="5"/>
      <c r="E14" s="4"/>
      <c r="F14" s="5">
        <v>2</v>
      </c>
      <c r="G14" s="5"/>
      <c r="H14" s="4"/>
      <c r="I14" s="5"/>
      <c r="J14" s="4"/>
      <c r="K14" s="4"/>
      <c r="L14" s="4">
        <v>45</v>
      </c>
      <c r="M14" s="4"/>
      <c r="N14" s="4">
        <v>143</v>
      </c>
      <c r="O14" s="4">
        <v>1</v>
      </c>
    </row>
    <row r="15" spans="1:15" ht="15">
      <c r="A15" s="4" t="s">
        <v>73</v>
      </c>
      <c r="B15" s="5">
        <f t="shared" si="0"/>
        <v>338</v>
      </c>
      <c r="C15" s="4">
        <v>10</v>
      </c>
      <c r="D15" s="5"/>
      <c r="E15" s="4"/>
      <c r="F15" s="5">
        <v>4</v>
      </c>
      <c r="G15" s="5"/>
      <c r="H15" s="4"/>
      <c r="I15" s="5">
        <v>6</v>
      </c>
      <c r="J15" s="4"/>
      <c r="K15" s="4"/>
      <c r="L15" s="4">
        <v>75</v>
      </c>
      <c r="M15" s="4">
        <v>15</v>
      </c>
      <c r="N15" s="4">
        <v>228</v>
      </c>
      <c r="O15" s="4"/>
    </row>
    <row r="16" spans="1:15" ht="15">
      <c r="A16" s="4" t="s">
        <v>74</v>
      </c>
      <c r="B16" s="5">
        <f t="shared" si="0"/>
        <v>25262</v>
      </c>
      <c r="C16" s="4">
        <f>SUM(2434+1202)</f>
        <v>3636</v>
      </c>
      <c r="D16" s="5">
        <v>275</v>
      </c>
      <c r="E16" s="4">
        <v>792</v>
      </c>
      <c r="F16" s="5">
        <v>268</v>
      </c>
      <c r="G16" s="5">
        <v>47</v>
      </c>
      <c r="H16" s="4">
        <v>2280</v>
      </c>
      <c r="I16" s="5">
        <v>159</v>
      </c>
      <c r="J16" s="4">
        <v>45</v>
      </c>
      <c r="K16" s="4">
        <v>2</v>
      </c>
      <c r="L16" s="4">
        <v>3791</v>
      </c>
      <c r="M16" s="4">
        <v>210</v>
      </c>
      <c r="N16" s="4">
        <v>10502</v>
      </c>
      <c r="O16" s="4">
        <f>SUM(10969-210-2-45-159-2280-47-268-792-275-3636)</f>
        <v>3255</v>
      </c>
    </row>
    <row r="17" spans="1:15" ht="15">
      <c r="A17" s="4" t="s">
        <v>75</v>
      </c>
      <c r="B17" s="5">
        <f t="shared" si="0"/>
        <v>115</v>
      </c>
      <c r="C17" s="4"/>
      <c r="D17" s="5"/>
      <c r="E17" s="4"/>
      <c r="F17" s="5"/>
      <c r="G17" s="5"/>
      <c r="H17" s="4"/>
      <c r="I17" s="5"/>
      <c r="J17" s="4"/>
      <c r="K17" s="4"/>
      <c r="L17" s="4">
        <v>26</v>
      </c>
      <c r="M17" s="4"/>
      <c r="N17" s="4">
        <v>88</v>
      </c>
      <c r="O17" s="4">
        <v>1</v>
      </c>
    </row>
    <row r="18" spans="1:15" ht="15">
      <c r="A18" s="4"/>
      <c r="B18" s="5"/>
      <c r="C18" s="4"/>
      <c r="D18" s="5"/>
      <c r="E18" s="4"/>
      <c r="F18" s="5"/>
      <c r="G18" s="5"/>
      <c r="H18" s="4"/>
      <c r="I18" s="5"/>
      <c r="J18" s="4"/>
      <c r="K18" s="4"/>
      <c r="L18" s="4"/>
      <c r="M18" s="4"/>
      <c r="N18" s="4"/>
      <c r="O18" s="4"/>
    </row>
    <row r="19" spans="1:15" ht="15">
      <c r="A19" s="4" t="s">
        <v>9</v>
      </c>
      <c r="B19" s="5">
        <f>SUM(B10:B17)</f>
        <v>27471</v>
      </c>
      <c r="C19" s="4"/>
      <c r="D19" s="5"/>
      <c r="E19" s="4"/>
      <c r="F19" s="5"/>
      <c r="G19" s="5"/>
      <c r="H19" s="4"/>
      <c r="I19" s="5"/>
      <c r="J19" s="4"/>
      <c r="K19" s="4"/>
      <c r="L19" s="4"/>
      <c r="M19" s="4"/>
      <c r="N19" s="4"/>
      <c r="O19" s="4"/>
    </row>
    <row r="21" ht="15">
      <c r="B21" s="2" t="s">
        <v>312</v>
      </c>
    </row>
    <row r="23" ht="15">
      <c r="B23" s="2" t="s">
        <v>313</v>
      </c>
    </row>
  </sheetData>
  <sheetProtection/>
  <mergeCells count="5">
    <mergeCell ref="A6:O6"/>
    <mergeCell ref="A1:O1"/>
    <mergeCell ref="A2:O2"/>
    <mergeCell ref="A4:O4"/>
    <mergeCell ref="A5:O5"/>
  </mergeCells>
  <printOptions horizontalCentered="1"/>
  <pageMargins left="0.75" right="0.75" top="1" bottom="1" header="0.5" footer="0.5"/>
  <pageSetup horizontalDpi="600" verticalDpi="600" orientation="landscape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defaultGridColor="0" zoomScalePageLayoutView="0" colorId="8" workbookViewId="0" topLeftCell="A1">
      <selection activeCell="C10" sqref="C10:P10"/>
    </sheetView>
  </sheetViews>
  <sheetFormatPr defaultColWidth="8.88671875" defaultRowHeight="15"/>
  <cols>
    <col min="1" max="1" width="7.4453125" style="0" customWidth="1"/>
    <col min="2" max="2" width="7.5546875" style="0" customWidth="1"/>
    <col min="3" max="3" width="7.3359375" style="0" customWidth="1"/>
    <col min="4" max="4" width="6.5546875" style="0" customWidth="1"/>
    <col min="5" max="5" width="5.6640625" style="0" customWidth="1"/>
    <col min="6" max="6" width="5.5546875" style="0" customWidth="1"/>
    <col min="7" max="7" width="5.99609375" style="0" customWidth="1"/>
    <col min="8" max="8" width="5.77734375" style="0" customWidth="1"/>
    <col min="9" max="9" width="7.5546875" style="0" customWidth="1"/>
    <col min="10" max="10" width="5.6640625" style="0" customWidth="1"/>
    <col min="11" max="11" width="4.99609375" style="0" customWidth="1"/>
    <col min="12" max="12" width="3.77734375" style="0" customWidth="1"/>
    <col min="13" max="13" width="6.21484375" style="0" customWidth="1"/>
    <col min="14" max="15" width="6.88671875" style="0" customWidth="1"/>
    <col min="16" max="16" width="5.5546875" style="0" customWidth="1"/>
  </cols>
  <sheetData>
    <row r="1" spans="1:16" ht="18.75" customHeight="1">
      <c r="A1" s="36" t="s">
        <v>77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</row>
    <row r="2" spans="1:16" ht="18.75" customHeight="1">
      <c r="A2" s="36" t="s">
        <v>311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  <c r="P2" s="37"/>
    </row>
    <row r="3" ht="18.75">
      <c r="A3" s="1"/>
    </row>
    <row r="4" spans="1:16" ht="15">
      <c r="A4" s="34" t="s">
        <v>322</v>
      </c>
      <c r="B4" s="35"/>
      <c r="C4" s="35"/>
      <c r="D4" s="35"/>
      <c r="E4" s="35"/>
      <c r="F4" s="35"/>
      <c r="G4" s="35"/>
      <c r="H4" s="35"/>
      <c r="I4" s="35"/>
      <c r="J4" s="37"/>
      <c r="K4" s="37"/>
      <c r="L4" s="37"/>
      <c r="M4" s="37"/>
      <c r="N4" s="37"/>
      <c r="O4" s="37"/>
      <c r="P4" s="37"/>
    </row>
    <row r="5" spans="1:16" ht="15">
      <c r="A5" s="34" t="s">
        <v>20</v>
      </c>
      <c r="B5" s="35"/>
      <c r="C5" s="35"/>
      <c r="D5" s="35"/>
      <c r="E5" s="35"/>
      <c r="F5" s="35"/>
      <c r="G5" s="35"/>
      <c r="H5" s="35"/>
      <c r="I5" s="35"/>
      <c r="J5" s="37"/>
      <c r="K5" s="37"/>
      <c r="L5" s="37"/>
      <c r="M5" s="37"/>
      <c r="N5" s="37"/>
      <c r="O5" s="37"/>
      <c r="P5" s="37"/>
    </row>
    <row r="6" spans="1:16" ht="15">
      <c r="A6" s="34" t="s">
        <v>19</v>
      </c>
      <c r="B6" s="35"/>
      <c r="C6" s="35"/>
      <c r="D6" s="35"/>
      <c r="E6" s="35"/>
      <c r="F6" s="35"/>
      <c r="G6" s="35"/>
      <c r="H6" s="35"/>
      <c r="I6" s="35"/>
      <c r="J6" s="37"/>
      <c r="K6" s="37"/>
      <c r="L6" s="37"/>
      <c r="M6" s="37"/>
      <c r="N6" s="37"/>
      <c r="O6" s="37"/>
      <c r="P6" s="37"/>
    </row>
    <row r="8" spans="1:10" s="10" customFormat="1" ht="15">
      <c r="A8"/>
      <c r="B8" s="8"/>
      <c r="C8"/>
      <c r="D8"/>
      <c r="E8"/>
      <c r="F8"/>
      <c r="G8"/>
      <c r="H8"/>
      <c r="I8"/>
      <c r="J8"/>
    </row>
    <row r="9" spans="1:16" ht="22.5">
      <c r="A9" s="3" t="s">
        <v>10</v>
      </c>
      <c r="B9" s="9" t="s">
        <v>0</v>
      </c>
      <c r="C9" s="9" t="s">
        <v>309</v>
      </c>
      <c r="D9" s="9" t="s">
        <v>1</v>
      </c>
      <c r="E9" s="3" t="s">
        <v>2</v>
      </c>
      <c r="F9" s="9" t="s">
        <v>11</v>
      </c>
      <c r="G9" s="3" t="s">
        <v>3</v>
      </c>
      <c r="H9" s="3" t="s">
        <v>4</v>
      </c>
      <c r="I9" s="3" t="s">
        <v>5</v>
      </c>
      <c r="J9" s="3" t="s">
        <v>6</v>
      </c>
      <c r="K9" s="3" t="s">
        <v>13</v>
      </c>
      <c r="L9" s="3" t="s">
        <v>14</v>
      </c>
      <c r="M9" s="3" t="s">
        <v>310</v>
      </c>
      <c r="N9" s="9" t="s">
        <v>7</v>
      </c>
      <c r="O9" s="9" t="s">
        <v>305</v>
      </c>
      <c r="P9" s="3" t="s">
        <v>8</v>
      </c>
    </row>
    <row r="10" spans="1:16" ht="15">
      <c r="A10" s="4" t="s">
        <v>42</v>
      </c>
      <c r="B10" s="5">
        <f>SUM(C10:P10)</f>
        <v>37269</v>
      </c>
      <c r="C10" s="4">
        <f>SUM(746+3079)</f>
        <v>3825</v>
      </c>
      <c r="D10" s="5">
        <v>4281</v>
      </c>
      <c r="E10" s="4">
        <v>1256</v>
      </c>
      <c r="F10" s="5">
        <v>104</v>
      </c>
      <c r="G10" s="5">
        <v>124</v>
      </c>
      <c r="H10" s="4">
        <v>993</v>
      </c>
      <c r="I10" s="5">
        <v>143</v>
      </c>
      <c r="J10" s="4">
        <v>135</v>
      </c>
      <c r="K10" s="4">
        <v>3318</v>
      </c>
      <c r="L10" s="4">
        <v>56</v>
      </c>
      <c r="M10" s="4">
        <v>8378</v>
      </c>
      <c r="N10" s="4">
        <v>631</v>
      </c>
      <c r="O10" s="4">
        <v>12053</v>
      </c>
      <c r="P10" s="4">
        <f>SUM(16838-631-56-3318-135-143-993-124-104-1256-4281-3825)</f>
        <v>1972</v>
      </c>
    </row>
    <row r="11" spans="1:16" ht="15">
      <c r="A11" s="4"/>
      <c r="B11" s="5"/>
      <c r="C11" s="4"/>
      <c r="D11" s="5"/>
      <c r="E11" s="4"/>
      <c r="F11" s="5"/>
      <c r="G11" s="5"/>
      <c r="H11" s="4"/>
      <c r="I11" s="5"/>
      <c r="J11" s="4"/>
      <c r="K11" s="4"/>
      <c r="L11" s="4"/>
      <c r="M11" s="4"/>
      <c r="N11" s="4"/>
      <c r="O11" s="4"/>
      <c r="P11" s="4"/>
    </row>
    <row r="12" spans="1:16" ht="15">
      <c r="A12" s="4" t="s">
        <v>9</v>
      </c>
      <c r="B12" s="5">
        <f>SUM(B10:B11)</f>
        <v>37269</v>
      </c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  <c r="O12" s="4"/>
      <c r="P12" s="4"/>
    </row>
    <row r="13" spans="1:11" ht="15">
      <c r="A13" s="12"/>
      <c r="B13" s="13"/>
      <c r="C13" s="13"/>
      <c r="D13" s="12"/>
      <c r="E13" s="13"/>
      <c r="F13" s="13"/>
      <c r="G13" s="12"/>
      <c r="H13" s="13"/>
      <c r="I13" s="12"/>
      <c r="J13" s="12"/>
      <c r="K13" s="12"/>
    </row>
    <row r="14" ht="15">
      <c r="B14" s="2" t="s">
        <v>312</v>
      </c>
    </row>
    <row r="16" ht="13.5" customHeight="1">
      <c r="B16" s="2" t="s">
        <v>313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defaultGridColor="0" zoomScalePageLayoutView="0" colorId="8" workbookViewId="0" topLeftCell="A1">
      <selection activeCell="A5" sqref="A5:M5"/>
    </sheetView>
  </sheetViews>
  <sheetFormatPr defaultColWidth="8.88671875" defaultRowHeight="15"/>
  <cols>
    <col min="1" max="1" width="11.6640625" style="0" customWidth="1"/>
    <col min="2" max="2" width="7.5546875" style="0" customWidth="1"/>
    <col min="3" max="4" width="6.99609375" style="0" customWidth="1"/>
    <col min="5" max="5" width="5.5546875" style="0" customWidth="1"/>
    <col min="6" max="6" width="4.88671875" style="0" customWidth="1"/>
    <col min="7" max="7" width="6.99609375" style="0" customWidth="1"/>
    <col min="8" max="8" width="6.3359375" style="0" customWidth="1"/>
    <col min="9" max="9" width="8.21484375" style="0" customWidth="1"/>
    <col min="10" max="10" width="7.10546875" style="0" customWidth="1"/>
    <col min="11" max="12" width="7.88671875" style="0" customWidth="1"/>
    <col min="13" max="13" width="7.99609375" style="0" customWidth="1"/>
  </cols>
  <sheetData>
    <row r="1" spans="1:13" ht="18.75" customHeight="1">
      <c r="A1" s="36" t="s">
        <v>86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8.75" customHeight="1">
      <c r="A2" s="36" t="s">
        <v>311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ht="18.75">
      <c r="A3" s="1"/>
    </row>
    <row r="4" spans="1:13" ht="15">
      <c r="A4" s="34" t="s">
        <v>323</v>
      </c>
      <c r="B4" s="35"/>
      <c r="C4" s="35"/>
      <c r="D4" s="35"/>
      <c r="E4" s="35"/>
      <c r="F4" s="35"/>
      <c r="G4" s="35"/>
      <c r="H4" s="35"/>
      <c r="I4" s="35"/>
      <c r="J4" s="35"/>
      <c r="K4" s="37"/>
      <c r="L4" s="37"/>
      <c r="M4" s="37"/>
    </row>
    <row r="5" spans="1:13" ht="15">
      <c r="A5" s="34" t="s">
        <v>20</v>
      </c>
      <c r="B5" s="35"/>
      <c r="C5" s="35"/>
      <c r="D5" s="35"/>
      <c r="E5" s="35"/>
      <c r="F5" s="35"/>
      <c r="G5" s="35"/>
      <c r="H5" s="35"/>
      <c r="I5" s="35"/>
      <c r="J5" s="35"/>
      <c r="K5" s="37"/>
      <c r="L5" s="37"/>
      <c r="M5" s="37"/>
    </row>
    <row r="6" spans="1:13" ht="15">
      <c r="A6" s="34" t="s">
        <v>19</v>
      </c>
      <c r="B6" s="35"/>
      <c r="C6" s="35"/>
      <c r="D6" s="35"/>
      <c r="E6" s="35"/>
      <c r="F6" s="35"/>
      <c r="G6" s="35"/>
      <c r="H6" s="35"/>
      <c r="I6" s="35"/>
      <c r="J6" s="35"/>
      <c r="K6" s="37"/>
      <c r="L6" s="37"/>
      <c r="M6" s="37"/>
    </row>
    <row r="7" ht="21" customHeight="1"/>
    <row r="8" spans="1:13" s="10" customFormat="1" ht="22.5">
      <c r="A8" s="3" t="s">
        <v>10</v>
      </c>
      <c r="B8" s="9" t="s">
        <v>0</v>
      </c>
      <c r="C8" s="9" t="s">
        <v>309</v>
      </c>
      <c r="D8" s="9" t="s">
        <v>308</v>
      </c>
      <c r="E8" s="3" t="s">
        <v>2</v>
      </c>
      <c r="F8" s="9" t="s">
        <v>11</v>
      </c>
      <c r="G8" s="3" t="s">
        <v>3</v>
      </c>
      <c r="H8" s="3" t="s">
        <v>4</v>
      </c>
      <c r="I8" s="3" t="s">
        <v>5</v>
      </c>
      <c r="J8" s="3" t="s">
        <v>310</v>
      </c>
      <c r="K8" s="9" t="s">
        <v>7</v>
      </c>
      <c r="L8" s="9" t="s">
        <v>305</v>
      </c>
      <c r="M8" s="3" t="s">
        <v>8</v>
      </c>
    </row>
    <row r="9" spans="1:13" ht="15">
      <c r="A9" s="4" t="s">
        <v>78</v>
      </c>
      <c r="B9" s="5">
        <f aca="true" t="shared" si="0" ref="B9:B19">SUM(C9:M9)</f>
        <v>246</v>
      </c>
      <c r="C9" s="4">
        <v>1</v>
      </c>
      <c r="D9" s="4"/>
      <c r="E9" s="4"/>
      <c r="F9" s="5">
        <v>1</v>
      </c>
      <c r="G9" s="5">
        <v>26</v>
      </c>
      <c r="H9" s="4"/>
      <c r="I9" s="5"/>
      <c r="J9" s="5">
        <v>52</v>
      </c>
      <c r="K9" s="4"/>
      <c r="L9" s="4">
        <v>165</v>
      </c>
      <c r="M9" s="4">
        <v>1</v>
      </c>
    </row>
    <row r="10" spans="1:13" ht="15">
      <c r="A10" s="4" t="s">
        <v>79</v>
      </c>
      <c r="B10" s="5">
        <f t="shared" si="0"/>
        <v>261</v>
      </c>
      <c r="C10" s="4">
        <v>40</v>
      </c>
      <c r="D10" s="4"/>
      <c r="E10" s="4"/>
      <c r="F10" s="5">
        <v>2</v>
      </c>
      <c r="G10" s="5"/>
      <c r="H10" s="4"/>
      <c r="I10" s="5"/>
      <c r="J10" s="5">
        <v>48</v>
      </c>
      <c r="K10" s="4"/>
      <c r="L10" s="4">
        <v>171</v>
      </c>
      <c r="M10" s="4"/>
    </row>
    <row r="11" spans="1:13" ht="15">
      <c r="A11" s="4" t="s">
        <v>80</v>
      </c>
      <c r="B11" s="5">
        <f t="shared" si="0"/>
        <v>278</v>
      </c>
      <c r="C11" s="4">
        <v>3</v>
      </c>
      <c r="D11" s="4"/>
      <c r="E11" s="4"/>
      <c r="F11" s="5">
        <v>3</v>
      </c>
      <c r="G11" s="5">
        <v>7</v>
      </c>
      <c r="H11" s="4">
        <v>1</v>
      </c>
      <c r="I11" s="5"/>
      <c r="J11" s="5">
        <v>105</v>
      </c>
      <c r="K11" s="4"/>
      <c r="L11" s="4">
        <v>158</v>
      </c>
      <c r="M11" s="4">
        <v>1</v>
      </c>
    </row>
    <row r="12" spans="1:13" ht="15">
      <c r="A12" s="4" t="s">
        <v>26</v>
      </c>
      <c r="B12" s="5">
        <f t="shared" si="0"/>
        <v>2737</v>
      </c>
      <c r="C12" s="4">
        <v>111</v>
      </c>
      <c r="D12" s="4">
        <v>31</v>
      </c>
      <c r="E12" s="4"/>
      <c r="F12" s="5">
        <v>6</v>
      </c>
      <c r="G12" s="5">
        <v>1</v>
      </c>
      <c r="H12" s="4">
        <v>6</v>
      </c>
      <c r="I12" s="5">
        <v>17</v>
      </c>
      <c r="J12" s="5">
        <v>559</v>
      </c>
      <c r="K12" s="4">
        <v>56</v>
      </c>
      <c r="L12" s="4">
        <v>1929</v>
      </c>
      <c r="M12" s="4">
        <f>SUM(249-56-17-6-1-6-31-111)</f>
        <v>21</v>
      </c>
    </row>
    <row r="13" spans="1:13" ht="15">
      <c r="A13" s="4" t="s">
        <v>81</v>
      </c>
      <c r="B13" s="5">
        <f t="shared" si="0"/>
        <v>88</v>
      </c>
      <c r="C13" s="4"/>
      <c r="D13" s="4"/>
      <c r="E13" s="4"/>
      <c r="F13" s="5"/>
      <c r="G13" s="5"/>
      <c r="H13" s="4"/>
      <c r="I13" s="5"/>
      <c r="J13" s="5">
        <v>26</v>
      </c>
      <c r="K13" s="4"/>
      <c r="L13" s="4">
        <v>62</v>
      </c>
      <c r="M13" s="4"/>
    </row>
    <row r="14" spans="1:13" ht="15">
      <c r="A14" s="4" t="s">
        <v>27</v>
      </c>
      <c r="B14" s="5">
        <f t="shared" si="0"/>
        <v>369</v>
      </c>
      <c r="C14" s="4">
        <v>6</v>
      </c>
      <c r="D14" s="4"/>
      <c r="E14" s="4"/>
      <c r="F14" s="5"/>
      <c r="G14" s="5"/>
      <c r="H14" s="4"/>
      <c r="I14" s="5">
        <v>1</v>
      </c>
      <c r="J14" s="5">
        <v>105</v>
      </c>
      <c r="K14" s="4"/>
      <c r="L14" s="4">
        <v>257</v>
      </c>
      <c r="M14" s="4"/>
    </row>
    <row r="15" spans="1:13" ht="15">
      <c r="A15" s="4" t="s">
        <v>82</v>
      </c>
      <c r="B15" s="5">
        <f t="shared" si="0"/>
        <v>1074</v>
      </c>
      <c r="C15" s="4">
        <v>39</v>
      </c>
      <c r="D15" s="4"/>
      <c r="E15" s="4"/>
      <c r="F15" s="5">
        <v>5</v>
      </c>
      <c r="G15" s="5"/>
      <c r="H15" s="4"/>
      <c r="I15" s="5">
        <v>2</v>
      </c>
      <c r="J15" s="5">
        <v>64</v>
      </c>
      <c r="K15" s="4"/>
      <c r="L15" s="4">
        <v>964</v>
      </c>
      <c r="M15" s="4"/>
    </row>
    <row r="16" spans="1:13" ht="15">
      <c r="A16" s="4" t="s">
        <v>83</v>
      </c>
      <c r="B16" s="5">
        <f t="shared" si="0"/>
        <v>163</v>
      </c>
      <c r="C16" s="4"/>
      <c r="D16" s="4"/>
      <c r="E16" s="4"/>
      <c r="F16" s="5">
        <v>1</v>
      </c>
      <c r="G16" s="5"/>
      <c r="H16" s="4"/>
      <c r="I16" s="5"/>
      <c r="J16" s="5">
        <v>25</v>
      </c>
      <c r="K16" s="4"/>
      <c r="L16" s="4">
        <v>136</v>
      </c>
      <c r="M16" s="4">
        <v>1</v>
      </c>
    </row>
    <row r="17" spans="1:13" ht="15">
      <c r="A17" s="4" t="s">
        <v>75</v>
      </c>
      <c r="B17" s="5">
        <f t="shared" si="0"/>
        <v>115</v>
      </c>
      <c r="C17" s="4"/>
      <c r="D17" s="4"/>
      <c r="E17" s="4"/>
      <c r="F17" s="5"/>
      <c r="G17" s="5"/>
      <c r="H17" s="4"/>
      <c r="I17" s="5"/>
      <c r="J17" s="5">
        <v>26</v>
      </c>
      <c r="K17" s="4"/>
      <c r="L17" s="4">
        <v>88</v>
      </c>
      <c r="M17" s="4">
        <v>1</v>
      </c>
    </row>
    <row r="18" spans="1:13" ht="15">
      <c r="A18" s="4" t="s">
        <v>84</v>
      </c>
      <c r="B18" s="5">
        <f t="shared" si="0"/>
        <v>142</v>
      </c>
      <c r="C18" s="4">
        <v>10</v>
      </c>
      <c r="D18" s="4"/>
      <c r="E18" s="4"/>
      <c r="F18" s="5">
        <v>1</v>
      </c>
      <c r="G18" s="5">
        <v>17</v>
      </c>
      <c r="H18" s="4"/>
      <c r="I18" s="5"/>
      <c r="J18" s="5">
        <v>30</v>
      </c>
      <c r="K18" s="4"/>
      <c r="L18" s="4">
        <v>83</v>
      </c>
      <c r="M18" s="4">
        <v>1</v>
      </c>
    </row>
    <row r="19" spans="1:13" ht="15" customHeight="1">
      <c r="A19" s="4" t="s">
        <v>85</v>
      </c>
      <c r="B19" s="5">
        <f t="shared" si="0"/>
        <v>357</v>
      </c>
      <c r="C19" s="4">
        <v>22</v>
      </c>
      <c r="D19" s="4"/>
      <c r="E19" s="4"/>
      <c r="F19" s="5">
        <v>49</v>
      </c>
      <c r="G19" s="5"/>
      <c r="H19" s="4"/>
      <c r="I19" s="5">
        <v>3</v>
      </c>
      <c r="J19" s="5">
        <v>80</v>
      </c>
      <c r="K19" s="4"/>
      <c r="L19" s="4">
        <v>198</v>
      </c>
      <c r="M19" s="4">
        <v>5</v>
      </c>
    </row>
    <row r="20" spans="1:13" ht="15">
      <c r="A20" s="4"/>
      <c r="B20" s="5"/>
      <c r="C20" s="4"/>
      <c r="D20" s="4"/>
      <c r="E20" s="4"/>
      <c r="F20" s="5"/>
      <c r="G20" s="5"/>
      <c r="H20" s="4"/>
      <c r="I20" s="5"/>
      <c r="J20" s="5"/>
      <c r="K20" s="4"/>
      <c r="L20" s="4"/>
      <c r="M20" s="4"/>
    </row>
    <row r="21" spans="1:13" ht="15">
      <c r="A21" s="4" t="s">
        <v>9</v>
      </c>
      <c r="B21" s="5">
        <f>SUM(B9:B19)</f>
        <v>5830</v>
      </c>
      <c r="C21" s="4"/>
      <c r="D21" s="4"/>
      <c r="E21" s="4"/>
      <c r="F21" s="5"/>
      <c r="G21" s="5"/>
      <c r="H21" s="4"/>
      <c r="I21" s="5"/>
      <c r="J21" s="5"/>
      <c r="K21" s="4"/>
      <c r="L21" s="4"/>
      <c r="M21" s="4"/>
    </row>
    <row r="23" ht="15">
      <c r="B23" s="2" t="s">
        <v>312</v>
      </c>
    </row>
    <row r="25" ht="15">
      <c r="B25" s="2" t="s">
        <v>313</v>
      </c>
    </row>
  </sheetData>
  <sheetProtection/>
  <mergeCells count="5">
    <mergeCell ref="A6:M6"/>
    <mergeCell ref="A1:M1"/>
    <mergeCell ref="A2:M2"/>
    <mergeCell ref="A4:M4"/>
    <mergeCell ref="A5:M5"/>
  </mergeCells>
  <printOptions horizontalCentered="1"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AmberLLC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Bardach</dc:creator>
  <cp:keywords/>
  <dc:description/>
  <cp:lastModifiedBy>Janet Kopenhaver</cp:lastModifiedBy>
  <cp:lastPrinted>2011-01-03T16:15:28Z</cp:lastPrinted>
  <dcterms:created xsi:type="dcterms:W3CDTF">2006-11-15T01:43:46Z</dcterms:created>
  <dcterms:modified xsi:type="dcterms:W3CDTF">2011-01-03T16:16:26Z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